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ANCIJE\FINANCIJE 2023\IZVJEŠTAJ O IZVRŠENJU FINANCIJSKOG PLANA 2023\IZVRŠENJE FIN. PLANA 31122023\"/>
    </mc:Choice>
  </mc:AlternateContent>
  <bookViews>
    <workbookView xWindow="0" yWindow="0" windowWidth="28800" windowHeight="1233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0" r:id="rId5"/>
  </sheets>
  <definedNames>
    <definedName name="_xlnm.Print_Area" localSheetId="1">' Račun prihoda i rashoda'!$B$1:$K$97</definedName>
    <definedName name="_xlnm.Print_Area" localSheetId="2">'Rashodi prema izvorima finan'!$A$1:$J$40</definedName>
    <definedName name="_xlnm.Print_Area" localSheetId="0">SAŽETAK!$B$7:$K$21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10" l="1"/>
  <c r="D161" i="10"/>
  <c r="C161" i="10"/>
  <c r="E154" i="10"/>
  <c r="D154" i="10"/>
  <c r="C154" i="10"/>
  <c r="E147" i="10"/>
  <c r="D147" i="10"/>
  <c r="C147" i="10"/>
  <c r="E139" i="10"/>
  <c r="D139" i="10"/>
  <c r="C139" i="10"/>
  <c r="E119" i="10"/>
  <c r="D119" i="10"/>
  <c r="C119" i="10"/>
  <c r="E78" i="10"/>
  <c r="D78" i="10"/>
  <c r="E70" i="10"/>
  <c r="D70" i="10"/>
  <c r="C70" i="10"/>
  <c r="E62" i="10"/>
  <c r="D62" i="10"/>
  <c r="C62" i="10"/>
  <c r="C78" i="10"/>
  <c r="K15" i="1" l="1"/>
  <c r="K16" i="1"/>
  <c r="K17" i="1"/>
  <c r="K18" i="1"/>
  <c r="K19" i="1"/>
  <c r="K20" i="1"/>
  <c r="K14" i="1"/>
  <c r="J15" i="1"/>
  <c r="J16" i="1"/>
  <c r="J17" i="1"/>
  <c r="J18" i="1"/>
  <c r="J19" i="1"/>
  <c r="J20" i="1"/>
  <c r="J14" i="1"/>
  <c r="I20" i="1"/>
  <c r="I19" i="1"/>
  <c r="H20" i="1"/>
  <c r="H19" i="1"/>
  <c r="I16" i="1"/>
  <c r="G20" i="1"/>
  <c r="G19" i="1"/>
  <c r="G10" i="3"/>
  <c r="G36" i="3"/>
  <c r="G37" i="3"/>
  <c r="H10" i="3"/>
  <c r="H16" i="1"/>
  <c r="G16" i="1"/>
  <c r="I10" i="3"/>
  <c r="I36" i="3"/>
  <c r="I37" i="3"/>
  <c r="H36" i="3"/>
  <c r="H37" i="3"/>
  <c r="D6" i="5"/>
  <c r="D208" i="10"/>
  <c r="C208" i="10"/>
  <c r="E182" i="10"/>
  <c r="E183" i="10"/>
  <c r="E184" i="10"/>
  <c r="E185" i="10"/>
  <c r="E186" i="10"/>
  <c r="E187" i="10"/>
  <c r="E188" i="10"/>
  <c r="D188" i="10"/>
  <c r="C188" i="10"/>
  <c r="E181" i="10"/>
  <c r="D196" i="10"/>
  <c r="E196" i="10" s="1"/>
  <c r="C196" i="10"/>
  <c r="E194" i="10"/>
  <c r="E195" i="10"/>
  <c r="E193" i="10"/>
  <c r="E202" i="10"/>
  <c r="E203" i="10"/>
  <c r="E204" i="10"/>
  <c r="E205" i="10"/>
  <c r="E201" i="10"/>
  <c r="D206" i="10"/>
  <c r="C206" i="10"/>
  <c r="E143" i="10"/>
  <c r="D144" i="10"/>
  <c r="C144" i="10"/>
  <c r="E104" i="10"/>
  <c r="E165" i="10"/>
  <c r="D166" i="10"/>
  <c r="C166" i="10"/>
  <c r="D159" i="10"/>
  <c r="C159" i="10"/>
  <c r="E158" i="10"/>
  <c r="E151" i="10"/>
  <c r="D152" i="10"/>
  <c r="C152" i="10"/>
  <c r="E131" i="10"/>
  <c r="E132" i="10"/>
  <c r="E133" i="10"/>
  <c r="E134" i="10"/>
  <c r="E135" i="10"/>
  <c r="E136" i="10"/>
  <c r="E130" i="10"/>
  <c r="D137" i="10"/>
  <c r="C137" i="10"/>
  <c r="E123" i="10"/>
  <c r="D124" i="10"/>
  <c r="C124" i="10"/>
  <c r="D116" i="10"/>
  <c r="C116" i="10"/>
  <c r="E115" i="10"/>
  <c r="E114" i="10"/>
  <c r="D109" i="10"/>
  <c r="C109" i="10"/>
  <c r="E100" i="10"/>
  <c r="E101" i="10"/>
  <c r="E102" i="10"/>
  <c r="E103" i="10"/>
  <c r="E105" i="10"/>
  <c r="E106" i="10"/>
  <c r="E107" i="10"/>
  <c r="E108" i="10"/>
  <c r="E99" i="10"/>
  <c r="D94" i="10"/>
  <c r="C94" i="10"/>
  <c r="E93" i="10"/>
  <c r="E83" i="10"/>
  <c r="E84" i="10"/>
  <c r="E85" i="10"/>
  <c r="E86" i="10"/>
  <c r="E87" i="10"/>
  <c r="E82" i="10"/>
  <c r="D88" i="10"/>
  <c r="C88" i="10"/>
  <c r="E74" i="10"/>
  <c r="D75" i="10"/>
  <c r="C75" i="10"/>
  <c r="E66" i="10"/>
  <c r="D67" i="10"/>
  <c r="C67" i="10"/>
  <c r="E54" i="10"/>
  <c r="E55" i="10"/>
  <c r="E56" i="10"/>
  <c r="E57" i="10"/>
  <c r="E53" i="10"/>
  <c r="D58" i="10"/>
  <c r="C58" i="10"/>
  <c r="E44" i="10"/>
  <c r="E45" i="10"/>
  <c r="E43" i="10"/>
  <c r="D46" i="10"/>
  <c r="C46" i="10"/>
  <c r="D36" i="10"/>
  <c r="E36" i="10" s="1"/>
  <c r="E35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10" i="10"/>
  <c r="E159" i="10" l="1"/>
  <c r="E206" i="10"/>
  <c r="E144" i="10"/>
  <c r="E124" i="10"/>
  <c r="C60" i="10"/>
  <c r="E116" i="10"/>
  <c r="D60" i="10"/>
  <c r="E60" i="10" s="1"/>
  <c r="E166" i="10"/>
  <c r="E152" i="10"/>
  <c r="E137" i="10"/>
  <c r="E109" i="10"/>
  <c r="E94" i="10"/>
  <c r="E88" i="10"/>
  <c r="E75" i="10"/>
  <c r="E67" i="10"/>
  <c r="E58" i="10"/>
  <c r="E46" i="10"/>
  <c r="G7" i="8"/>
  <c r="G8" i="8"/>
  <c r="G9" i="8"/>
  <c r="G6" i="8"/>
  <c r="F6" i="8"/>
  <c r="F7" i="8"/>
  <c r="F9" i="8"/>
  <c r="F8" i="8"/>
  <c r="D6" i="8"/>
  <c r="D7" i="8"/>
  <c r="D28" i="10"/>
  <c r="D5" i="10" s="1"/>
  <c r="C28" i="10"/>
  <c r="C5" i="10" s="1"/>
  <c r="E5" i="10" l="1"/>
  <c r="E28" i="10"/>
  <c r="C210" i="10" l="1"/>
  <c r="D210" i="10"/>
  <c r="E208" i="10"/>
  <c r="E210" i="10" l="1"/>
  <c r="E6" i="8" l="1"/>
  <c r="E7" i="8"/>
  <c r="C6" i="8" l="1"/>
  <c r="C7" i="8"/>
  <c r="G11" i="5" l="1"/>
  <c r="G13" i="5"/>
  <c r="G14" i="5"/>
  <c r="G18" i="5"/>
  <c r="F9" i="5"/>
  <c r="F11" i="5"/>
  <c r="F13" i="5"/>
  <c r="F14" i="5"/>
  <c r="F18" i="5"/>
  <c r="F21" i="5"/>
  <c r="F23" i="5"/>
  <c r="F27" i="5"/>
  <c r="F30" i="5"/>
  <c r="F32" i="5"/>
  <c r="F33" i="5"/>
  <c r="F37" i="5"/>
  <c r="F38" i="5"/>
  <c r="F40" i="5"/>
  <c r="E20" i="5"/>
  <c r="E19" i="5"/>
  <c r="F19" i="5" s="1"/>
  <c r="E17" i="5"/>
  <c r="F17" i="5" s="1"/>
  <c r="E15" i="5"/>
  <c r="E12" i="5" s="1"/>
  <c r="E10" i="5"/>
  <c r="E8" i="5"/>
  <c r="F8" i="5" s="1"/>
  <c r="E7" i="5" l="1"/>
  <c r="G15" i="5"/>
  <c r="F15" i="5"/>
  <c r="E16" i="5"/>
  <c r="E35" i="5"/>
  <c r="E31" i="5"/>
  <c r="E29" i="5"/>
  <c r="E26" i="5"/>
  <c r="I59" i="3"/>
  <c r="I86" i="3"/>
  <c r="I87" i="3"/>
  <c r="I96" i="3"/>
  <c r="I94" i="3"/>
  <c r="I88" i="3"/>
  <c r="I44" i="3"/>
  <c r="I79" i="3"/>
  <c r="I83" i="3"/>
  <c r="I84" i="3"/>
  <c r="I80" i="3"/>
  <c r="I73" i="3"/>
  <c r="I64" i="3"/>
  <c r="I57" i="3"/>
  <c r="I52" i="3" s="1"/>
  <c r="I53" i="3"/>
  <c r="I49" i="3"/>
  <c r="I47" i="3"/>
  <c r="I45" i="3"/>
  <c r="I55" i="3"/>
  <c r="I50" i="3"/>
  <c r="I48" i="3"/>
  <c r="I46" i="3"/>
  <c r="I85" i="3"/>
  <c r="I78" i="3"/>
  <c r="I95" i="3"/>
  <c r="I71" i="3"/>
  <c r="I70" i="3"/>
  <c r="I67" i="3"/>
  <c r="I66" i="3"/>
  <c r="I65" i="3"/>
  <c r="I62" i="3"/>
  <c r="I58" i="3"/>
  <c r="I56" i="3"/>
  <c r="I54" i="3"/>
  <c r="I97" i="3"/>
  <c r="I76" i="3"/>
  <c r="I89" i="3"/>
  <c r="I61" i="3"/>
  <c r="I81" i="3"/>
  <c r="I75" i="3"/>
  <c r="I74" i="3"/>
  <c r="I72" i="3"/>
  <c r="I68" i="3"/>
  <c r="I60" i="3"/>
  <c r="E6" i="5" l="1"/>
  <c r="E25" i="5"/>
  <c r="G11" i="3"/>
  <c r="G12" i="3"/>
  <c r="G13" i="3"/>
  <c r="G16" i="3"/>
  <c r="G19" i="3"/>
  <c r="G20" i="3"/>
  <c r="G28" i="3"/>
  <c r="G22" i="3"/>
  <c r="G23" i="3"/>
  <c r="G25" i="3"/>
  <c r="G29" i="3"/>
  <c r="D37" i="5" l="1"/>
  <c r="G37" i="5" s="1"/>
  <c r="D36" i="5"/>
  <c r="G36" i="5" s="1"/>
  <c r="D34" i="5"/>
  <c r="G34" i="5" s="1"/>
  <c r="D33" i="5"/>
  <c r="G33" i="5" s="1"/>
  <c r="D32" i="5"/>
  <c r="G32" i="5" s="1"/>
  <c r="D30" i="5"/>
  <c r="G30" i="5" s="1"/>
  <c r="D17" i="5"/>
  <c r="G17" i="5" s="1"/>
  <c r="D12" i="5"/>
  <c r="G12" i="5" s="1"/>
  <c r="D10" i="5"/>
  <c r="C22" i="5"/>
  <c r="F22" i="5" s="1"/>
  <c r="C12" i="5"/>
  <c r="F12" i="5" s="1"/>
  <c r="C16" i="5"/>
  <c r="F16" i="5" s="1"/>
  <c r="C20" i="5"/>
  <c r="F20" i="5" s="1"/>
  <c r="C10" i="5"/>
  <c r="F10" i="5" s="1"/>
  <c r="C7" i="5"/>
  <c r="F7" i="5" s="1"/>
  <c r="C28" i="5"/>
  <c r="C29" i="5"/>
  <c r="F29" i="5" s="1"/>
  <c r="D16" i="5" l="1"/>
  <c r="G16" i="5" s="1"/>
  <c r="D35" i="5"/>
  <c r="G35" i="5" s="1"/>
  <c r="G6" i="5"/>
  <c r="G10" i="5"/>
  <c r="D29" i="5"/>
  <c r="C26" i="5"/>
  <c r="F26" i="5" s="1"/>
  <c r="F28" i="5"/>
  <c r="D31" i="5"/>
  <c r="G31" i="5" s="1"/>
  <c r="C6" i="5"/>
  <c r="F6" i="5" s="1"/>
  <c r="C36" i="5"/>
  <c r="F36" i="5" s="1"/>
  <c r="G47" i="3"/>
  <c r="G48" i="3"/>
  <c r="G95" i="3"/>
  <c r="G89" i="3"/>
  <c r="G81" i="3"/>
  <c r="G77" i="3"/>
  <c r="G76" i="3"/>
  <c r="G75" i="3"/>
  <c r="G72" i="3"/>
  <c r="G71" i="3"/>
  <c r="G69" i="3"/>
  <c r="G68" i="3"/>
  <c r="G67" i="3"/>
  <c r="G66" i="3"/>
  <c r="G65" i="3"/>
  <c r="G63" i="3"/>
  <c r="G62" i="3"/>
  <c r="G61" i="3"/>
  <c r="G60" i="3"/>
  <c r="G59" i="3"/>
  <c r="G58" i="3"/>
  <c r="G55" i="3"/>
  <c r="G54" i="3"/>
  <c r="G29" i="5" l="1"/>
  <c r="D25" i="5"/>
  <c r="G25" i="5" s="1"/>
  <c r="C39" i="5"/>
  <c r="F39" i="5" s="1"/>
  <c r="C35" i="5"/>
  <c r="F35" i="5" s="1"/>
  <c r="C34" i="5"/>
  <c r="C31" i="5" l="1"/>
  <c r="F34" i="5"/>
  <c r="K48" i="3"/>
  <c r="K50" i="3"/>
  <c r="K55" i="3"/>
  <c r="K56" i="3"/>
  <c r="K59" i="3"/>
  <c r="K61" i="3"/>
  <c r="K63" i="3"/>
  <c r="K65" i="3"/>
  <c r="K68" i="3"/>
  <c r="K71" i="3"/>
  <c r="K74" i="3"/>
  <c r="K75" i="3"/>
  <c r="K76" i="3"/>
  <c r="K77" i="3"/>
  <c r="K81" i="3"/>
  <c r="K84" i="3"/>
  <c r="K85" i="3"/>
  <c r="K89" i="3"/>
  <c r="K21" i="3"/>
  <c r="K23" i="3"/>
  <c r="K24" i="3"/>
  <c r="K30" i="3"/>
  <c r="J46" i="3"/>
  <c r="J48" i="3"/>
  <c r="J50" i="3"/>
  <c r="J54" i="3"/>
  <c r="J55" i="3"/>
  <c r="J56" i="3"/>
  <c r="J58" i="3"/>
  <c r="J59" i="3"/>
  <c r="J60" i="3"/>
  <c r="J61" i="3"/>
  <c r="J62" i="3"/>
  <c r="J63" i="3"/>
  <c r="J65" i="3"/>
  <c r="J66" i="3"/>
  <c r="J67" i="3"/>
  <c r="J68" i="3"/>
  <c r="J69" i="3"/>
  <c r="J70" i="3"/>
  <c r="J71" i="3"/>
  <c r="J72" i="3"/>
  <c r="J74" i="3"/>
  <c r="J75" i="3"/>
  <c r="J77" i="3"/>
  <c r="J78" i="3"/>
  <c r="J81" i="3"/>
  <c r="J89" i="3"/>
  <c r="J92" i="3"/>
  <c r="J93" i="3"/>
  <c r="J95" i="3"/>
  <c r="J16" i="3"/>
  <c r="J18" i="3"/>
  <c r="J19" i="3"/>
  <c r="J20" i="3"/>
  <c r="J21" i="3"/>
  <c r="J23" i="3"/>
  <c r="J24" i="3"/>
  <c r="J25" i="3"/>
  <c r="J26" i="3"/>
  <c r="J27" i="3"/>
  <c r="J29" i="3"/>
  <c r="J30" i="3"/>
  <c r="J31" i="3"/>
  <c r="J33" i="3"/>
  <c r="J34" i="3"/>
  <c r="J35" i="3"/>
  <c r="J15" i="3"/>
  <c r="J14" i="3"/>
  <c r="J13" i="3"/>
  <c r="H88" i="3"/>
  <c r="H83" i="3"/>
  <c r="H84" i="3"/>
  <c r="H80" i="3"/>
  <c r="H79" i="3" s="1"/>
  <c r="H49" i="3"/>
  <c r="K49" i="3" s="1"/>
  <c r="H47" i="3"/>
  <c r="K47" i="3" s="1"/>
  <c r="H59" i="3"/>
  <c r="H95" i="3"/>
  <c r="K95" i="3" s="1"/>
  <c r="H78" i="3"/>
  <c r="K78" i="3" s="1"/>
  <c r="H72" i="3"/>
  <c r="K72" i="3" s="1"/>
  <c r="H69" i="3"/>
  <c r="K69" i="3" s="1"/>
  <c r="H67" i="3"/>
  <c r="K67" i="3" s="1"/>
  <c r="H62" i="3"/>
  <c r="K62" i="3" s="1"/>
  <c r="H66" i="3"/>
  <c r="K66" i="3" s="1"/>
  <c r="H58" i="3"/>
  <c r="K58" i="3" s="1"/>
  <c r="H54" i="3"/>
  <c r="K54" i="3" s="1"/>
  <c r="H46" i="3"/>
  <c r="K46" i="3" s="1"/>
  <c r="H60" i="3"/>
  <c r="K60" i="3" s="1"/>
  <c r="H29" i="3"/>
  <c r="H28" i="3" s="1"/>
  <c r="H23" i="3"/>
  <c r="H22" i="3" s="1"/>
  <c r="H20" i="3"/>
  <c r="H19" i="3" s="1"/>
  <c r="K19" i="3" s="1"/>
  <c r="H15" i="3"/>
  <c r="K15" i="3" s="1"/>
  <c r="H14" i="3"/>
  <c r="K14" i="3" s="1"/>
  <c r="C25" i="5" l="1"/>
  <c r="F25" i="5" s="1"/>
  <c r="F31" i="5"/>
  <c r="H13" i="3"/>
  <c r="H53" i="3"/>
  <c r="K20" i="3"/>
  <c r="H94" i="3"/>
  <c r="H87" i="3" s="1"/>
  <c r="H86" i="3" s="1"/>
  <c r="H45" i="3"/>
  <c r="K29" i="3"/>
  <c r="H57" i="3"/>
  <c r="H52" i="3" s="1"/>
  <c r="H73" i="3"/>
  <c r="H64" i="3"/>
  <c r="G94" i="3"/>
  <c r="G88" i="3"/>
  <c r="G80" i="3"/>
  <c r="G79" i="3" s="1"/>
  <c r="G73" i="3"/>
  <c r="G64" i="3"/>
  <c r="G57" i="3"/>
  <c r="G53" i="3"/>
  <c r="G49" i="3"/>
  <c r="J49" i="3" s="1"/>
  <c r="G45" i="3"/>
  <c r="J45" i="3" s="1"/>
  <c r="J47" i="3"/>
  <c r="G87" i="3" l="1"/>
  <c r="G86" i="3" s="1"/>
  <c r="G52" i="3"/>
  <c r="K13" i="3"/>
  <c r="H12" i="3"/>
  <c r="H11" i="3" s="1"/>
  <c r="H44" i="3"/>
  <c r="H43" i="3" s="1"/>
  <c r="H42" i="3" s="1"/>
  <c r="K45" i="3"/>
  <c r="G44" i="3"/>
  <c r="K83" i="3"/>
  <c r="G43" i="3" l="1"/>
  <c r="G42" i="3" s="1"/>
  <c r="K88" i="3"/>
  <c r="J88" i="3"/>
  <c r="K57" i="3"/>
  <c r="J57" i="3"/>
  <c r="K73" i="3"/>
  <c r="J73" i="3"/>
  <c r="J94" i="3"/>
  <c r="K94" i="3"/>
  <c r="K44" i="3"/>
  <c r="J44" i="3"/>
  <c r="K53" i="3"/>
  <c r="J53" i="3"/>
  <c r="J64" i="3"/>
  <c r="K64" i="3"/>
  <c r="J80" i="3"/>
  <c r="K80" i="3"/>
  <c r="I28" i="3"/>
  <c r="I22" i="3"/>
  <c r="I12" i="3"/>
  <c r="I11" i="3" l="1"/>
  <c r="K12" i="3"/>
  <c r="J12" i="3"/>
  <c r="K28" i="3"/>
  <c r="J28" i="3"/>
  <c r="J79" i="3"/>
  <c r="K79" i="3"/>
  <c r="I43" i="3"/>
  <c r="K22" i="3"/>
  <c r="J22" i="3"/>
  <c r="K52" i="3"/>
  <c r="J52" i="3"/>
  <c r="K87" i="3"/>
  <c r="J87" i="3"/>
  <c r="G32" i="3"/>
  <c r="J32" i="3" s="1"/>
  <c r="J86" i="3" l="1"/>
  <c r="K86" i="3"/>
  <c r="I42" i="3"/>
  <c r="K43" i="3"/>
  <c r="J43" i="3"/>
  <c r="J11" i="3"/>
  <c r="K11" i="3"/>
  <c r="J10" i="3" l="1"/>
  <c r="K10" i="3"/>
  <c r="J42" i="3"/>
  <c r="K42" i="3"/>
</calcChain>
</file>

<file path=xl/sharedStrings.xml><?xml version="1.0" encoding="utf-8"?>
<sst xmlns="http://schemas.openxmlformats.org/spreadsheetml/2006/main" count="439" uniqueCount="228">
  <si>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</si>
  <si>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</si>
  <si>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</si>
  <si>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</si>
  <si>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</si>
  <si>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</si>
  <si>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</si>
  <si>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</si>
  <si>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</si>
  <si>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</si>
  <si>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</si>
  <si>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</si>
  <si>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</si>
  <si>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</si>
  <si>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</si>
  <si>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</si>
  <si>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</si>
  <si>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</si>
  <si>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</si>
  <si>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</si>
  <si>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</si>
  <si>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</si>
  <si>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</si>
  <si>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</si>
  <si>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</si>
  <si>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</si>
  <si>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</si>
  <si>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</si>
  <si>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</si>
  <si>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</si>
  <si>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</si>
  <si>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</si>
  <si>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</si>
  <si>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</si>
  <si>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</si>
  <si>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</si>
  <si>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</si>
  <si>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</si>
  <si>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 xml:space="preserve"> RAČUN PRIHODA I RASHODA </t>
  </si>
  <si>
    <t>IZVJEŠTAJ PO PROGRAMSKOJ KLASIFIKACIJI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</si>
  <si>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</si>
  <si>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</si>
  <si>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</si>
  <si>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</si>
  <si>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</si>
  <si>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</si>
  <si>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IZVRŠENJE FINANCIJSKOG PLANA PRORAČUNSKOG KORISNIKA DRŽAVNOG PRORAČUNA
ZA 2023. GODINU</t>
  </si>
  <si>
    <t>SAŽETAK RAČUNA PRIHODA I RASHODA I RAČUNA FINANCIRANJA</t>
  </si>
  <si>
    <t>OSTVARENJE/IZVRŠENJE 
2022.</t>
  </si>
  <si>
    <t>IZVORNI PLAN ILI REBALANS 2023.*</t>
  </si>
  <si>
    <t>OSTVARENJE/IZVRŠENJE 
2023.</t>
  </si>
  <si>
    <t xml:space="preserve">OSTVARENJE/IZVRŠENJE 
2023. </t>
  </si>
  <si>
    <t xml:space="preserve">OSTVARENJE/IZVRŠENJE 
2022. </t>
  </si>
  <si>
    <t xml:space="preserve"> IZVRŠENJE 
2022. </t>
  </si>
  <si>
    <t xml:space="preserve"> IZVRŠENJE 
2023.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</si>
  <si>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</si>
  <si>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</si>
  <si>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</si>
  <si>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</si>
  <si>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</si>
  <si>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</si>
  <si>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</si>
  <si>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</si>
  <si>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</si>
  <si>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</si>
  <si>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</si>
  <si>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</si>
  <si>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</si>
  <si>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</si>
  <si>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</si>
  <si>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</si>
  <si>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</si>
  <si>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</si>
  <si>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</si>
  <si>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</si>
  <si>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</si>
  <si>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</si>
  <si>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</si>
  <si>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</si>
  <si>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</si>
  <si>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</si>
  <si>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</si>
  <si>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</si>
  <si>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</si>
  <si>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</si>
  <si>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</si>
  <si>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</si>
  <si>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</si>
  <si>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</si>
  <si>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</si>
  <si>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</si>
  <si>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</si>
  <si>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</si>
  <si>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</si>
  <si>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</si>
  <si>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</si>
  <si>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</si>
  <si>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</si>
  <si>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</si>
  <si>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</si>
  <si>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</si>
  <si>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</si>
  <si>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</si>
  <si>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</si>
  <si>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</si>
  <si>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</si>
  <si>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</si>
  <si>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</si>
  <si>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</si>
  <si>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</si>
  <si>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</si>
  <si>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</si>
  <si>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</si>
  <si>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</si>
  <si>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</si>
  <si>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</si>
  <si>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7=5/3*100</t>
  </si>
  <si>
    <t>Doprinosi na plaće</t>
  </si>
  <si>
    <t>OSNOVNA ŠKOLA BRAĆA RIBAR</t>
  </si>
  <si>
    <t>Športska 3</t>
  </si>
  <si>
    <t>23242 Posedarje</t>
  </si>
  <si>
    <t>OIB: 63359283065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</si>
  <si>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</si>
  <si>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</si>
  <si>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</si>
  <si>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</si>
  <si>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</si>
  <si>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</si>
  <si>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</si>
  <si>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</si>
  <si>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</si>
  <si>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7 Prihodi od prodaje nefinancijske imovine</t>
  </si>
  <si>
    <t xml:space="preserve">71 Prihodi od prodaje nefinacijske imovine </t>
  </si>
  <si>
    <t>6 Donacije</t>
  </si>
  <si>
    <t xml:space="preserve">61 Donacije </t>
  </si>
  <si>
    <t>09 Obrazovanje</t>
  </si>
  <si>
    <t>091 Predškolsko i osnovno obrazovanje</t>
  </si>
  <si>
    <t>096 Dodatne usluge u obrazovanju</t>
  </si>
  <si>
    <t>A2202-01</t>
  </si>
  <si>
    <t>Djelatnost osnovnih škola</t>
  </si>
  <si>
    <t>Izvor financiranja: F.P i dod. udio u por. na dohodak</t>
  </si>
  <si>
    <t>Račun rashoda/ izdatka</t>
  </si>
  <si>
    <t>Naziv računa</t>
  </si>
  <si>
    <t>Indeks (5=3/2*100)</t>
  </si>
  <si>
    <t>Uredski materijal i ostali mat. rashodi</t>
  </si>
  <si>
    <t>El. energija</t>
  </si>
  <si>
    <t>Materijal i dijelovi za tekuće i inv. održavanje</t>
  </si>
  <si>
    <t>Sitni inventar</t>
  </si>
  <si>
    <t>Usluge tekućeg i inv. održavanja</t>
  </si>
  <si>
    <t>Prijevoz učenika osnovnih škola</t>
  </si>
  <si>
    <t>Članarine</t>
  </si>
  <si>
    <t>Ukupno:</t>
  </si>
  <si>
    <t>K2202-02</t>
  </si>
  <si>
    <t>Nabava proizvedene dugotrajne imovine</t>
  </si>
  <si>
    <t>Izvor financiranja: F.P. i dod. udio u por.na dohodak</t>
  </si>
  <si>
    <t>UKUPNO:</t>
  </si>
  <si>
    <t>T2202-03</t>
  </si>
  <si>
    <t>Hitne intervencije u osnovnim školama</t>
  </si>
  <si>
    <t>A2202-04</t>
  </si>
  <si>
    <t>Administracija i upravljanje</t>
  </si>
  <si>
    <t>Izvor financiranja: Državni proračun</t>
  </si>
  <si>
    <t>Plaće</t>
  </si>
  <si>
    <t>Prijevoz na posao i s posla</t>
  </si>
  <si>
    <t>Novčana nakn. zbog nezapoš.osob. s inv.</t>
  </si>
  <si>
    <t>A2203-01</t>
  </si>
  <si>
    <t>Javne potrebe u prosvjeti</t>
  </si>
  <si>
    <t>Izvor financiranja: Opći prihodi i primici</t>
  </si>
  <si>
    <t>Ostali nespomenuti rashodi</t>
  </si>
  <si>
    <t>T2203-02</t>
  </si>
  <si>
    <t>Projektna dokumentacija- Javne potrebe</t>
  </si>
  <si>
    <t>A2203-04</t>
  </si>
  <si>
    <t>Podizanje kvalitete i standarda u školstvu</t>
  </si>
  <si>
    <t>Plaće po sudskim presudama</t>
  </si>
  <si>
    <t xml:space="preserve">Izvor financiranja: Višak prihoda </t>
  </si>
  <si>
    <t xml:space="preserve">Izvor financiranja: Vlastiti prihodi </t>
  </si>
  <si>
    <t>Uredski materijal</t>
  </si>
  <si>
    <t>Izvor financiranja: Proračun JLS</t>
  </si>
  <si>
    <t>A2203-06</t>
  </si>
  <si>
    <t>Školska kuhinja i kantina</t>
  </si>
  <si>
    <t>Izvor financiranja: Višak /manjak prihoda korisnici</t>
  </si>
  <si>
    <t>Uredski namještaj</t>
  </si>
  <si>
    <t>Izvor financiranja: Prihodi za posebne namjene</t>
  </si>
  <si>
    <t>Namirnice</t>
  </si>
  <si>
    <t>A2203-27</t>
  </si>
  <si>
    <t>Udžbenici</t>
  </si>
  <si>
    <t>A2203-33</t>
  </si>
  <si>
    <t>Prehrana za učenike</t>
  </si>
  <si>
    <t>A2203-34</t>
  </si>
  <si>
    <t>Izvor financiranja: Predfinanciranje iz Županije</t>
  </si>
  <si>
    <t>T4306-03</t>
  </si>
  <si>
    <t xml:space="preserve">Izvor financiranja: Pomoći iz inozemstva </t>
  </si>
  <si>
    <t>Osnovno školstvo-standard</t>
  </si>
  <si>
    <t>Motorni benzin i dizel gorivo</t>
  </si>
  <si>
    <t>Osnovno školstvo-iznad standarda</t>
  </si>
  <si>
    <t>Naknada za korištenje privatnog aut. u sl. svrhe</t>
  </si>
  <si>
    <t>Osnovni materijal i sirovine</t>
  </si>
  <si>
    <t>Usluge tekućeg i inv. održavanja građ. objekata</t>
  </si>
  <si>
    <t>Opskrba vodom</t>
  </si>
  <si>
    <t>Službena zaštitna i radna odjeća</t>
  </si>
  <si>
    <t>Zdravstvene usluge</t>
  </si>
  <si>
    <t>Ostali nespom. rashodi poslovanja</t>
  </si>
  <si>
    <t>A2203-14</t>
  </si>
  <si>
    <t>Natjecanja i smotre u OŠ</t>
  </si>
  <si>
    <t>Materijal za hig. potrebe i njegu</t>
  </si>
  <si>
    <t>Inkluzija - korak bliže društvu bez prepreka 2022/2023</t>
  </si>
  <si>
    <t>Plaće za redovan rad ŽP 2022/2023</t>
  </si>
  <si>
    <t>Plaće za redovan rad MZO 2022/2023</t>
  </si>
  <si>
    <t>Doprinosi na plaće OZO-ŽP 2022/2023</t>
  </si>
  <si>
    <t>Plaće za redovan rad EU 2022/2023</t>
  </si>
  <si>
    <t>Doprinosi na plaće - EU 2022/2023</t>
  </si>
  <si>
    <t>Ostali rashodi za zaposlene 2022/2023</t>
  </si>
  <si>
    <t>Izrada projektne dokumentacije za projekte OŠ</t>
  </si>
  <si>
    <t>Ugovori o djelu</t>
  </si>
  <si>
    <t>Ostale računalne usluge</t>
  </si>
  <si>
    <t>Plaće za redovan rad EU 2023/2024</t>
  </si>
  <si>
    <t>Ostali rashodi za zaposlene 2023/2024</t>
  </si>
  <si>
    <t>Doprinosi na plaće OZO-MZO 2022/2023</t>
  </si>
  <si>
    <t>Doprinosi na plaće OZO-MZO 2023/2024</t>
  </si>
  <si>
    <t>Plaće za redovan rad ŽP 2023/2024</t>
  </si>
  <si>
    <t>Naknada za prijevoz 2022/2023</t>
  </si>
  <si>
    <t>Naknada za prijevoz 2023/2024</t>
  </si>
  <si>
    <t>Doprinosi za plaće OZO-ŽP 2023/2024</t>
  </si>
  <si>
    <t>Vlastiti izvori</t>
  </si>
  <si>
    <t>Rezultat poslovanja</t>
  </si>
  <si>
    <t>Višak prihoda</t>
  </si>
  <si>
    <t>Zalihe menstrual. higijenskih potrepština</t>
  </si>
  <si>
    <t>Klasa: 400-04/24-01/01</t>
  </si>
  <si>
    <t>Ur. broj: 2198-1-23-24-1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</si>
</sst>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6"/>
      <name val="Times New Roman"/>
      <family val="1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3" fillId="0" borderId="0"/>
    <xf numFmtId="0" fontId="19" fillId="4" borderId="7" applyNumberFormat="0" applyFont="0" applyAlignment="0" applyProtection="0"/>
    <xf numFmtId="0" fontId="6" fillId="0" borderId="0"/>
    <xf numFmtId="0" fontId="6" fillId="0" borderId="0"/>
    <xf numFmtId="0" fontId="31" fillId="0" borderId="0"/>
  </cellStyleXfs>
  <cellXfs count="197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6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6" fillId="0" borderId="3" xfId="0" applyNumberFormat="1" applyFont="1" applyBorder="1"/>
    <xf numFmtId="4" fontId="17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" fontId="16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10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4" fontId="0" fillId="0" borderId="3" xfId="0" applyNumberFormat="1" applyBorder="1"/>
    <xf numFmtId="0" fontId="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4" fontId="1" fillId="0" borderId="3" xfId="0" applyNumberFormat="1" applyFont="1" applyBorder="1"/>
    <xf numFmtId="4" fontId="0" fillId="0" borderId="3" xfId="0" applyNumberFormat="1" applyFont="1" applyBorder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0" borderId="3" xfId="0" applyFont="1" applyBorder="1"/>
    <xf numFmtId="3" fontId="20" fillId="4" borderId="7" xfId="2" applyNumberFormat="1" applyFont="1" applyAlignment="1">
      <alignment horizontal="center" vertical="center"/>
    </xf>
    <xf numFmtId="3" fontId="20" fillId="4" borderId="7" xfId="2" applyNumberFormat="1" applyFont="1" applyAlignment="1">
      <alignment horizontal="left" vertical="center"/>
    </xf>
    <xf numFmtId="4" fontId="20" fillId="4" borderId="7" xfId="2" applyNumberFormat="1" applyFont="1" applyAlignment="1">
      <alignment horizontal="left" vertical="center"/>
    </xf>
    <xf numFmtId="4" fontId="23" fillId="0" borderId="3" xfId="3" quotePrefix="1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/>
    </xf>
    <xf numFmtId="3" fontId="24" fillId="0" borderId="3" xfId="3" applyNumberFormat="1" applyFont="1" applyBorder="1" applyAlignment="1">
      <alignment horizontal="center" vertical="center" wrapText="1"/>
    </xf>
    <xf numFmtId="3" fontId="24" fillId="0" borderId="3" xfId="3" quotePrefix="1" applyNumberFormat="1" applyFont="1" applyBorder="1" applyAlignment="1">
      <alignment horizontal="center" vertical="center" wrapText="1"/>
    </xf>
    <xf numFmtId="4" fontId="0" fillId="0" borderId="0" xfId="0" applyNumberFormat="1"/>
    <xf numFmtId="0" fontId="27" fillId="4" borderId="7" xfId="2" applyFont="1" applyAlignment="1">
      <alignment horizontal="left"/>
    </xf>
    <xf numFmtId="0" fontId="27" fillId="4" borderId="7" xfId="2" applyFont="1"/>
    <xf numFmtId="4" fontId="28" fillId="0" borderId="0" xfId="0" applyNumberFormat="1" applyFont="1"/>
    <xf numFmtId="0" fontId="29" fillId="0" borderId="0" xfId="0" applyFont="1" applyAlignment="1">
      <alignment horizontal="left"/>
    </xf>
    <xf numFmtId="0" fontId="28" fillId="0" borderId="0" xfId="0" applyFont="1"/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4" fontId="26" fillId="0" borderId="0" xfId="0" applyNumberFormat="1" applyFont="1" applyBorder="1"/>
    <xf numFmtId="4" fontId="26" fillId="0" borderId="0" xfId="0" applyNumberFormat="1" applyFont="1" applyBorder="1" applyAlignment="1">
      <alignment horizontal="center"/>
    </xf>
    <xf numFmtId="49" fontId="20" fillId="5" borderId="0" xfId="3" applyNumberFormat="1" applyFont="1" applyFill="1" applyAlignment="1">
      <alignment horizontal="center" vertical="center"/>
    </xf>
    <xf numFmtId="3" fontId="20" fillId="5" borderId="0" xfId="3" applyNumberFormat="1" applyFont="1" applyFill="1" applyAlignment="1">
      <alignment horizontal="center" vertical="center"/>
    </xf>
    <xf numFmtId="4" fontId="20" fillId="5" borderId="7" xfId="2" applyNumberFormat="1" applyFont="1" applyFill="1" applyAlignment="1">
      <alignment horizontal="right" vertical="center"/>
    </xf>
    <xf numFmtId="4" fontId="28" fillId="4" borderId="7" xfId="2" applyNumberFormat="1" applyFont="1" applyBorder="1"/>
    <xf numFmtId="4" fontId="28" fillId="6" borderId="7" xfId="0" applyNumberFormat="1" applyFont="1" applyFill="1" applyBorder="1"/>
    <xf numFmtId="4" fontId="0" fillId="6" borderId="7" xfId="0" applyNumberFormat="1" applyFill="1" applyBorder="1"/>
    <xf numFmtId="4" fontId="28" fillId="6" borderId="7" xfId="2" applyNumberFormat="1" applyFont="1" applyFill="1" applyBorder="1"/>
    <xf numFmtId="0" fontId="30" fillId="5" borderId="0" xfId="0" applyFont="1" applyFill="1" applyBorder="1" applyAlignment="1">
      <alignment horizontal="left"/>
    </xf>
    <xf numFmtId="4" fontId="30" fillId="5" borderId="0" xfId="0" applyNumberFormat="1" applyFont="1" applyFill="1" applyBorder="1"/>
    <xf numFmtId="0" fontId="28" fillId="0" borderId="3" xfId="0" applyFont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4" fontId="0" fillId="2" borderId="0" xfId="0" applyNumberFormat="1" applyFill="1" applyBorder="1"/>
    <xf numFmtId="4" fontId="0" fillId="2" borderId="0" xfId="0" applyNumberFormat="1" applyFill="1"/>
    <xf numFmtId="0" fontId="26" fillId="2" borderId="0" xfId="0" applyFont="1" applyFill="1" applyBorder="1" applyAlignment="1">
      <alignment horizontal="left"/>
    </xf>
    <xf numFmtId="0" fontId="26" fillId="2" borderId="0" xfId="0" applyFont="1" applyFill="1" applyBorder="1"/>
    <xf numFmtId="4" fontId="26" fillId="2" borderId="0" xfId="0" applyNumberFormat="1" applyFont="1" applyFill="1" applyBorder="1"/>
    <xf numFmtId="4" fontId="26" fillId="2" borderId="0" xfId="0" applyNumberFormat="1" applyFont="1" applyFill="1" applyBorder="1" applyAlignment="1">
      <alignment horizontal="center"/>
    </xf>
    <xf numFmtId="4" fontId="28" fillId="2" borderId="0" xfId="0" applyNumberFormat="1" applyFont="1" applyFill="1"/>
    <xf numFmtId="3" fontId="22" fillId="2" borderId="0" xfId="3" applyNumberFormat="1" applyFont="1" applyFill="1" applyAlignment="1">
      <alignment horizontal="center" vertical="center"/>
    </xf>
    <xf numFmtId="4" fontId="22" fillId="2" borderId="0" xfId="3" applyNumberFormat="1" applyFont="1" applyFill="1" applyAlignment="1">
      <alignment horizontal="center" vertical="center"/>
    </xf>
    <xf numFmtId="0" fontId="25" fillId="2" borderId="3" xfId="0" applyFont="1" applyFill="1" applyBorder="1"/>
    <xf numFmtId="0" fontId="26" fillId="2" borderId="3" xfId="0" applyFont="1" applyFill="1" applyBorder="1" applyAlignment="1">
      <alignment horizontal="left"/>
    </xf>
    <xf numFmtId="4" fontId="26" fillId="2" borderId="3" xfId="0" applyNumberFormat="1" applyFont="1" applyFill="1" applyBorder="1"/>
    <xf numFmtId="4" fontId="26" fillId="2" borderId="3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/>
    <xf numFmtId="4" fontId="25" fillId="2" borderId="0" xfId="0" applyNumberFormat="1" applyFont="1" applyFill="1" applyBorder="1"/>
    <xf numFmtId="0" fontId="28" fillId="2" borderId="0" xfId="0" applyFont="1" applyFill="1" applyBorder="1"/>
    <xf numFmtId="4" fontId="25" fillId="2" borderId="0" xfId="0" applyNumberFormat="1" applyFont="1" applyFill="1" applyBorder="1" applyAlignment="1">
      <alignment horizontal="center"/>
    </xf>
    <xf numFmtId="4" fontId="32" fillId="2" borderId="3" xfId="0" applyNumberFormat="1" applyFont="1" applyFill="1" applyBorder="1"/>
    <xf numFmtId="0" fontId="27" fillId="4" borderId="9" xfId="2" applyFont="1" applyBorder="1" applyAlignment="1"/>
    <xf numFmtId="0" fontId="17" fillId="0" borderId="3" xfId="0" applyFont="1" applyBorder="1"/>
    <xf numFmtId="0" fontId="33" fillId="0" borderId="3" xfId="3" quotePrefix="1" applyNumberFormat="1" applyFont="1" applyBorder="1" applyAlignment="1">
      <alignment horizontal="left"/>
    </xf>
    <xf numFmtId="0" fontId="33" fillId="0" borderId="3" xfId="3" applyNumberFormat="1" applyFont="1" applyBorder="1" applyAlignment="1">
      <alignment vertical="center"/>
    </xf>
    <xf numFmtId="4" fontId="33" fillId="0" borderId="3" xfId="3" quotePrefix="1" applyNumberFormat="1" applyFont="1" applyBorder="1" applyAlignment="1">
      <alignment vertical="center"/>
    </xf>
    <xf numFmtId="4" fontId="34" fillId="0" borderId="3" xfId="3" quotePrefix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4" fontId="28" fillId="0" borderId="3" xfId="0" applyNumberFormat="1" applyFont="1" applyBorder="1"/>
    <xf numFmtId="0" fontId="32" fillId="0" borderId="3" xfId="0" applyFont="1" applyBorder="1" applyAlignment="1">
      <alignment horizontal="left"/>
    </xf>
    <xf numFmtId="0" fontId="0" fillId="0" borderId="3" xfId="0" applyFont="1" applyBorder="1"/>
    <xf numFmtId="4" fontId="32" fillId="0" borderId="3" xfId="0" applyNumberFormat="1" applyFont="1" applyBorder="1"/>
    <xf numFmtId="4" fontId="35" fillId="0" borderId="3" xfId="3" quotePrefix="1" applyNumberFormat="1" applyFont="1" applyBorder="1" applyAlignment="1">
      <alignment horizontal="center" vertical="center"/>
    </xf>
    <xf numFmtId="0" fontId="35" fillId="0" borderId="3" xfId="3" applyNumberFormat="1" applyFont="1" applyBorder="1" applyAlignment="1">
      <alignment vertical="center" wrapText="1"/>
    </xf>
    <xf numFmtId="0" fontId="35" fillId="0" borderId="3" xfId="3" applyNumberFormat="1" applyFont="1" applyBorder="1" applyAlignment="1">
      <alignment vertical="center"/>
    </xf>
    <xf numFmtId="4" fontId="35" fillId="0" borderId="3" xfId="3" quotePrefix="1" applyNumberFormat="1" applyFont="1" applyBorder="1" applyAlignment="1">
      <alignment horizontal="center" vertical="center" wrapText="1"/>
    </xf>
    <xf numFmtId="0" fontId="36" fillId="0" borderId="3" xfId="3" applyNumberFormat="1" applyFont="1" applyBorder="1" applyAlignment="1">
      <alignment vertical="center" wrapText="1"/>
    </xf>
    <xf numFmtId="0" fontId="36" fillId="0" borderId="3" xfId="3" applyNumberFormat="1" applyFont="1" applyBorder="1" applyAlignment="1">
      <alignment vertical="center"/>
    </xf>
    <xf numFmtId="3" fontId="37" fillId="0" borderId="3" xfId="3" applyNumberFormat="1" applyFont="1" applyBorder="1" applyAlignment="1">
      <alignment horizontal="center" vertical="center" wrapText="1"/>
    </xf>
    <xf numFmtId="3" fontId="37" fillId="0" borderId="3" xfId="3" quotePrefix="1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wrapText="1"/>
    </xf>
    <xf numFmtId="4" fontId="28" fillId="0" borderId="3" xfId="0" applyNumberFormat="1" applyFont="1" applyBorder="1" applyAlignment="1">
      <alignment horizontal="center"/>
    </xf>
    <xf numFmtId="0" fontId="32" fillId="0" borderId="3" xfId="0" applyFont="1" applyBorder="1"/>
    <xf numFmtId="4" fontId="32" fillId="0" borderId="3" xfId="0" applyNumberFormat="1" applyFont="1" applyBorder="1" applyAlignment="1">
      <alignment horizont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/>
    <xf numFmtId="4" fontId="32" fillId="2" borderId="0" xfId="0" applyNumberFormat="1" applyFont="1" applyFill="1" applyBorder="1"/>
    <xf numFmtId="4" fontId="32" fillId="2" borderId="0" xfId="0" applyNumberFormat="1" applyFont="1" applyFill="1" applyBorder="1" applyAlignment="1">
      <alignment horizontal="center"/>
    </xf>
    <xf numFmtId="0" fontId="33" fillId="0" borderId="3" xfId="3" applyNumberFormat="1" applyFont="1" applyBorder="1" applyAlignment="1">
      <alignment horizontal="left" vertical="center" wrapText="1"/>
    </xf>
    <xf numFmtId="4" fontId="33" fillId="0" borderId="3" xfId="3" applyNumberFormat="1" applyFont="1" applyBorder="1" applyAlignment="1">
      <alignment horizontal="right" vertical="center" wrapText="1"/>
    </xf>
    <xf numFmtId="4" fontId="33" fillId="0" borderId="3" xfId="3" quotePrefix="1" applyNumberFormat="1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/>
    </xf>
    <xf numFmtId="0" fontId="33" fillId="0" borderId="3" xfId="4" applyFont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 vertical="center"/>
    </xf>
    <xf numFmtId="0" fontId="37" fillId="0" borderId="3" xfId="3" applyNumberFormat="1" applyFont="1" applyBorder="1" applyAlignment="1">
      <alignment vertical="center" wrapText="1"/>
    </xf>
    <xf numFmtId="0" fontId="37" fillId="0" borderId="3" xfId="3" applyNumberFormat="1" applyFont="1" applyBorder="1" applyAlignment="1">
      <alignment vertical="center"/>
    </xf>
    <xf numFmtId="0" fontId="33" fillId="0" borderId="3" xfId="3" applyNumberFormat="1" applyFont="1" applyBorder="1" applyAlignment="1">
      <alignment horizontal="left" wrapText="1"/>
    </xf>
    <xf numFmtId="0" fontId="33" fillId="0" borderId="3" xfId="3" applyNumberFormat="1" applyFont="1" applyBorder="1" applyAlignment="1"/>
    <xf numFmtId="4" fontId="33" fillId="0" borderId="3" xfId="3" applyNumberFormat="1" applyFont="1" applyBorder="1" applyAlignment="1">
      <alignment wrapText="1"/>
    </xf>
    <xf numFmtId="4" fontId="28" fillId="2" borderId="3" xfId="0" applyNumberFormat="1" applyFont="1" applyFill="1" applyBorder="1"/>
    <xf numFmtId="4" fontId="28" fillId="2" borderId="3" xfId="0" applyNumberFormat="1" applyFont="1" applyFill="1" applyBorder="1" applyAlignment="1">
      <alignment horizontal="center"/>
    </xf>
    <xf numFmtId="4" fontId="32" fillId="2" borderId="3" xfId="0" applyNumberFormat="1" applyFont="1" applyFill="1" applyBorder="1" applyAlignment="1">
      <alignment horizontal="center"/>
    </xf>
    <xf numFmtId="0" fontId="28" fillId="0" borderId="3" xfId="0" applyFont="1" applyBorder="1" applyAlignment="1"/>
    <xf numFmtId="4" fontId="28" fillId="0" borderId="3" xfId="0" applyNumberFormat="1" applyFont="1" applyBorder="1" applyAlignment="1"/>
    <xf numFmtId="0" fontId="8" fillId="2" borderId="3" xfId="0" quotePrefix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27" fillId="4" borderId="7" xfId="2" applyFont="1" applyAlignment="1"/>
    <xf numFmtId="0" fontId="8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3" fontId="21" fillId="2" borderId="5" xfId="3" applyNumberFormat="1" applyFont="1" applyFill="1" applyBorder="1" applyAlignment="1">
      <alignment horizontal="left" wrapText="1"/>
    </xf>
    <xf numFmtId="0" fontId="29" fillId="2" borderId="8" xfId="0" applyFont="1" applyFill="1" applyBorder="1" applyAlignment="1">
      <alignment horizontal="left"/>
    </xf>
    <xf numFmtId="0" fontId="0" fillId="2" borderId="8" xfId="0" applyFill="1" applyBorder="1" applyAlignment="1"/>
    <xf numFmtId="0" fontId="15" fillId="2" borderId="0" xfId="0" applyFont="1" applyFill="1" applyAlignment="1">
      <alignment horizontal="center"/>
    </xf>
  </cellXfs>
  <cellStyles count="6">
    <cellStyle name="Normal" xfId="0" builtinId="0"/>
    <cellStyle name="Normalno 2" xfId="5"/>
    <cellStyle name="Note" xfId="2" builtinId="10"/>
    <cellStyle name="Obično 2" xfId="3"/>
    <cellStyle name="Obično 3" xfId="4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abSelected="1" zoomScaleNormal="100" workbookViewId="0">
      <selection activeCell="A6" sqref="A6:C6"/>
    </sheetView>
  </sheetViews>
  <sheetFormatPr defaultRowHeight="15" x14ac:dyDescent="0.25"/>
  <cols>
    <col min="1" max="1" width="9.140625" style="42"/>
    <col min="6" max="9" width="25.28515625" customWidth="1"/>
    <col min="10" max="11" width="15.7109375" customWidth="1"/>
    <col min="12" max="12" width="25.28515625" style="42" customWidth="1"/>
    <col min="13" max="19" width="9.140625" style="42"/>
  </cols>
  <sheetData>
    <row r="1" spans="1:12" s="48" customFormat="1" ht="15.75" x14ac:dyDescent="0.25">
      <c r="A1" s="177" t="s">
        <v>118</v>
      </c>
      <c r="B1" s="178"/>
      <c r="C1" s="178"/>
      <c r="D1" s="178"/>
      <c r="E1" s="178"/>
    </row>
    <row r="2" spans="1:12" s="48" customFormat="1" ht="15.75" x14ac:dyDescent="0.25">
      <c r="A2" s="177" t="s">
        <v>119</v>
      </c>
      <c r="B2" s="178"/>
      <c r="C2" s="178"/>
      <c r="D2" s="178"/>
    </row>
    <row r="3" spans="1:12" s="48" customFormat="1" ht="15.75" x14ac:dyDescent="0.25">
      <c r="A3" s="177" t="s">
        <v>120</v>
      </c>
      <c r="B3" s="178"/>
      <c r="C3" s="178"/>
    </row>
    <row r="4" spans="1:12" s="48" customFormat="1" ht="15.75" x14ac:dyDescent="0.25">
      <c r="A4" s="177" t="s">
        <v>121</v>
      </c>
      <c r="B4" s="178"/>
      <c r="C4" s="178"/>
    </row>
    <row r="5" spans="1:12" s="48" customFormat="1" ht="15.75" x14ac:dyDescent="0.25">
      <c r="A5" s="177" t="s">
        <v>226</v>
      </c>
      <c r="B5" s="178"/>
      <c r="C5" s="178"/>
    </row>
    <row r="6" spans="1:12" s="48" customFormat="1" ht="15.75" x14ac:dyDescent="0.25">
      <c r="A6" s="177" t="s">
        <v>227</v>
      </c>
      <c r="B6" s="178"/>
      <c r="C6" s="178"/>
    </row>
    <row r="7" spans="1:12" ht="42" customHeight="1" x14ac:dyDescent="0.25">
      <c r="B7" s="179" t="s">
        <v>46</v>
      </c>
      <c r="C7" s="179"/>
      <c r="D7" s="179"/>
      <c r="E7" s="179"/>
      <c r="F7" s="179"/>
      <c r="G7" s="179"/>
      <c r="H7" s="179"/>
      <c r="I7" s="179"/>
      <c r="J7" s="179"/>
      <c r="K7" s="179"/>
      <c r="L7" s="44"/>
    </row>
    <row r="8" spans="1:12" ht="15.75" customHeight="1" x14ac:dyDescent="0.25">
      <c r="B8" s="179" t="s">
        <v>9</v>
      </c>
      <c r="C8" s="179"/>
      <c r="D8" s="179"/>
      <c r="E8" s="179"/>
      <c r="F8" s="179"/>
      <c r="G8" s="179"/>
      <c r="H8" s="179"/>
      <c r="I8" s="179"/>
      <c r="J8" s="179"/>
      <c r="K8" s="179"/>
      <c r="L8" s="45"/>
    </row>
    <row r="9" spans="1:12" ht="18" customHeight="1" x14ac:dyDescent="0.25">
      <c r="B9" s="179" t="s">
        <v>47</v>
      </c>
      <c r="C9" s="179"/>
      <c r="D9" s="179"/>
      <c r="E9" s="179"/>
      <c r="F9" s="179"/>
      <c r="G9" s="179"/>
      <c r="H9" s="179"/>
      <c r="I9" s="179"/>
      <c r="J9" s="179"/>
      <c r="K9" s="179"/>
      <c r="L9" s="46"/>
    </row>
    <row r="10" spans="1:12" ht="18" customHeight="1" x14ac:dyDescent="0.25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46"/>
    </row>
    <row r="11" spans="1:12" ht="18" customHeight="1" x14ac:dyDescent="0.25">
      <c r="B11" s="182" t="s">
        <v>40</v>
      </c>
      <c r="C11" s="182"/>
      <c r="D11" s="182"/>
      <c r="E11" s="182"/>
      <c r="F11" s="182"/>
      <c r="G11" s="30"/>
      <c r="H11" s="26"/>
      <c r="I11" s="26"/>
      <c r="J11" s="27"/>
      <c r="K11" s="27"/>
    </row>
    <row r="12" spans="1:12" ht="25.5" x14ac:dyDescent="0.25">
      <c r="B12" s="181" t="s">
        <v>7</v>
      </c>
      <c r="C12" s="181"/>
      <c r="D12" s="181"/>
      <c r="E12" s="181"/>
      <c r="F12" s="181"/>
      <c r="G12" s="19" t="s">
        <v>48</v>
      </c>
      <c r="H12" s="19" t="s">
        <v>49</v>
      </c>
      <c r="I12" s="19" t="s">
        <v>50</v>
      </c>
      <c r="J12" s="19" t="s">
        <v>18</v>
      </c>
      <c r="K12" s="19" t="s">
        <v>37</v>
      </c>
    </row>
    <row r="13" spans="1:12" x14ac:dyDescent="0.25">
      <c r="B13" s="183">
        <v>1</v>
      </c>
      <c r="C13" s="183"/>
      <c r="D13" s="183"/>
      <c r="E13" s="183"/>
      <c r="F13" s="184"/>
      <c r="G13" s="22">
        <v>2</v>
      </c>
      <c r="H13" s="21">
        <v>3</v>
      </c>
      <c r="I13" s="21">
        <v>5</v>
      </c>
      <c r="J13" s="21" t="s">
        <v>30</v>
      </c>
      <c r="K13" s="21" t="s">
        <v>116</v>
      </c>
    </row>
    <row r="14" spans="1:12" x14ac:dyDescent="0.25">
      <c r="B14" s="170" t="s">
        <v>20</v>
      </c>
      <c r="C14" s="171"/>
      <c r="D14" s="171"/>
      <c r="E14" s="171"/>
      <c r="F14" s="172"/>
      <c r="G14" s="160">
        <v>1079845.22</v>
      </c>
      <c r="H14" s="156">
        <v>1101871.83</v>
      </c>
      <c r="I14" s="156">
        <v>1327936.76</v>
      </c>
      <c r="J14" s="12">
        <f>I14/G14*100</f>
        <v>122.97473150828043</v>
      </c>
      <c r="K14" s="12">
        <f>I14/H14*100</f>
        <v>120.51644518401019</v>
      </c>
    </row>
    <row r="15" spans="1:12" x14ac:dyDescent="0.25">
      <c r="B15" s="173" t="s">
        <v>19</v>
      </c>
      <c r="C15" s="172"/>
      <c r="D15" s="172"/>
      <c r="E15" s="172"/>
      <c r="F15" s="172"/>
      <c r="G15" s="160">
        <v>28.05</v>
      </c>
      <c r="H15" s="156">
        <v>0</v>
      </c>
      <c r="I15" s="156">
        <v>0</v>
      </c>
      <c r="J15" s="12">
        <f t="shared" ref="J15:J20" si="0">I15/G15*100</f>
        <v>0</v>
      </c>
      <c r="K15" s="12" t="e">
        <f t="shared" ref="K15:K20" si="1">I15/H15*100</f>
        <v>#DIV/0!</v>
      </c>
    </row>
    <row r="16" spans="1:12" x14ac:dyDescent="0.25">
      <c r="B16" s="167" t="s">
        <v>0</v>
      </c>
      <c r="C16" s="168"/>
      <c r="D16" s="168"/>
      <c r="E16" s="168"/>
      <c r="F16" s="169"/>
      <c r="G16" s="161">
        <f>G14+G15</f>
        <v>1079873.27</v>
      </c>
      <c r="H16" s="157">
        <f>H14+H15</f>
        <v>1101871.83</v>
      </c>
      <c r="I16" s="157">
        <f>I14+I15</f>
        <v>1327936.76</v>
      </c>
      <c r="J16" s="12">
        <f t="shared" si="0"/>
        <v>122.97153720639831</v>
      </c>
      <c r="K16" s="12">
        <f t="shared" si="1"/>
        <v>120.51644518401019</v>
      </c>
    </row>
    <row r="17" spans="2:12" x14ac:dyDescent="0.25">
      <c r="B17" s="176" t="s">
        <v>21</v>
      </c>
      <c r="C17" s="171"/>
      <c r="D17" s="171"/>
      <c r="E17" s="171"/>
      <c r="F17" s="171"/>
      <c r="G17" s="162">
        <v>1056756.07</v>
      </c>
      <c r="H17" s="156">
        <v>1085245.01</v>
      </c>
      <c r="I17" s="156">
        <v>1298044.1399999999</v>
      </c>
      <c r="J17" s="12">
        <f t="shared" si="0"/>
        <v>122.83290125790333</v>
      </c>
      <c r="K17" s="12">
        <f t="shared" si="1"/>
        <v>119.60839515861952</v>
      </c>
    </row>
    <row r="18" spans="2:12" x14ac:dyDescent="0.25">
      <c r="B18" s="174" t="s">
        <v>22</v>
      </c>
      <c r="C18" s="172"/>
      <c r="D18" s="172"/>
      <c r="E18" s="172"/>
      <c r="F18" s="172"/>
      <c r="G18" s="160">
        <v>21685.09</v>
      </c>
      <c r="H18" s="158">
        <v>20837.48</v>
      </c>
      <c r="I18" s="158">
        <v>13190.11</v>
      </c>
      <c r="J18" s="12">
        <f t="shared" si="0"/>
        <v>60.825710199957669</v>
      </c>
      <c r="K18" s="12">
        <f t="shared" si="1"/>
        <v>63.299928782175193</v>
      </c>
    </row>
    <row r="19" spans="2:12" x14ac:dyDescent="0.25">
      <c r="B19" s="13" t="s">
        <v>1</v>
      </c>
      <c r="C19" s="25"/>
      <c r="D19" s="25"/>
      <c r="E19" s="25"/>
      <c r="F19" s="25"/>
      <c r="G19" s="161">
        <f>G17+G18</f>
        <v>1078441.1600000001</v>
      </c>
      <c r="H19" s="157">
        <f>H17+H18</f>
        <v>1106082.49</v>
      </c>
      <c r="I19" s="157">
        <f>I17+I18</f>
        <v>1311234.25</v>
      </c>
      <c r="J19" s="12">
        <f t="shared" si="0"/>
        <v>121.58607243811058</v>
      </c>
      <c r="K19" s="12">
        <f t="shared" si="1"/>
        <v>118.54760036929977</v>
      </c>
    </row>
    <row r="20" spans="2:12" x14ac:dyDescent="0.25">
      <c r="B20" s="175" t="s">
        <v>2</v>
      </c>
      <c r="C20" s="168"/>
      <c r="D20" s="168"/>
      <c r="E20" s="168"/>
      <c r="F20" s="168"/>
      <c r="G20" s="163">
        <f>G16-G19</f>
        <v>1432.1099999998696</v>
      </c>
      <c r="H20" s="159">
        <f>H16-H19</f>
        <v>-4210.6599999999162</v>
      </c>
      <c r="I20" s="159">
        <f>I16-I19</f>
        <v>16702.510000000009</v>
      </c>
      <c r="J20" s="12">
        <f t="shared" si="0"/>
        <v>1166.2868075777369</v>
      </c>
      <c r="K20" s="12">
        <f t="shared" si="1"/>
        <v>-396.6720181634314</v>
      </c>
    </row>
    <row r="21" spans="2:12" ht="18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47"/>
    </row>
    <row r="22" spans="2:12" s="42" customFormat="1" x14ac:dyDescent="0.25"/>
    <row r="23" spans="2:12" s="42" customFormat="1" x14ac:dyDescent="0.25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2:12" s="42" customFormat="1" x14ac:dyDescent="0.25">
      <c r="B24" s="165" t="s">
        <v>41</v>
      </c>
      <c r="C24" s="165"/>
      <c r="D24" s="165"/>
      <c r="E24" s="165"/>
      <c r="F24" s="165"/>
      <c r="G24" s="165"/>
      <c r="H24" s="165"/>
      <c r="I24" s="165"/>
      <c r="J24" s="165"/>
      <c r="K24" s="165"/>
    </row>
    <row r="25" spans="2:12" s="42" customFormat="1" ht="15" customHeight="1" x14ac:dyDescent="0.25">
      <c r="B25" s="165" t="s">
        <v>42</v>
      </c>
      <c r="C25" s="165"/>
      <c r="D25" s="165"/>
      <c r="E25" s="165"/>
      <c r="F25" s="165"/>
      <c r="G25" s="165"/>
      <c r="H25" s="165"/>
      <c r="I25" s="165"/>
      <c r="J25" s="165"/>
      <c r="K25" s="165"/>
    </row>
    <row r="26" spans="2:12" s="42" customFormat="1" ht="15" customHeight="1" x14ac:dyDescent="0.25">
      <c r="B26" s="165" t="s">
        <v>43</v>
      </c>
      <c r="C26" s="165"/>
      <c r="D26" s="165"/>
      <c r="E26" s="165"/>
      <c r="F26" s="165"/>
      <c r="G26" s="165"/>
      <c r="H26" s="165"/>
      <c r="I26" s="165"/>
      <c r="J26" s="165"/>
      <c r="K26" s="165"/>
    </row>
    <row r="27" spans="2:12" s="42" customFormat="1" ht="15" customHeight="1" x14ac:dyDescent="0.25">
      <c r="B27" s="165" t="s">
        <v>44</v>
      </c>
      <c r="C27" s="165"/>
      <c r="D27" s="165"/>
      <c r="E27" s="165"/>
      <c r="F27" s="165"/>
      <c r="G27" s="165"/>
      <c r="H27" s="165"/>
      <c r="I27" s="165"/>
      <c r="J27" s="165"/>
      <c r="K27" s="165"/>
    </row>
    <row r="28" spans="2:12" s="42" customFormat="1" ht="36.75" customHeight="1" x14ac:dyDescent="0.25">
      <c r="B28" s="165"/>
      <c r="C28" s="165"/>
      <c r="D28" s="165"/>
      <c r="E28" s="165"/>
      <c r="F28" s="165"/>
      <c r="G28" s="165"/>
      <c r="H28" s="165"/>
      <c r="I28" s="165"/>
      <c r="J28" s="165"/>
      <c r="K28" s="165"/>
    </row>
    <row r="29" spans="2:12" s="42" customFormat="1" ht="15" customHeight="1" x14ac:dyDescent="0.25">
      <c r="B29" s="166" t="s">
        <v>45</v>
      </c>
      <c r="C29" s="166"/>
      <c r="D29" s="166"/>
      <c r="E29" s="166"/>
      <c r="F29" s="166"/>
      <c r="G29" s="166"/>
      <c r="H29" s="166"/>
      <c r="I29" s="166"/>
      <c r="J29" s="166"/>
      <c r="K29" s="166"/>
    </row>
    <row r="30" spans="2:12" s="42" customFormat="1" x14ac:dyDescent="0.25">
      <c r="B30" s="166"/>
      <c r="C30" s="166"/>
      <c r="D30" s="166"/>
      <c r="E30" s="166"/>
      <c r="F30" s="166"/>
      <c r="G30" s="166"/>
      <c r="H30" s="166"/>
      <c r="I30" s="166"/>
      <c r="J30" s="166"/>
      <c r="K30" s="166"/>
    </row>
    <row r="31" spans="2:12" s="42" customFormat="1" ht="20.25" customHeight="1" x14ac:dyDescent="0.25"/>
    <row r="32" spans="2:1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</sheetData>
  <mergeCells count="25">
    <mergeCell ref="A1:E1"/>
    <mergeCell ref="B26:K26"/>
    <mergeCell ref="B10:K10"/>
    <mergeCell ref="B21:K21"/>
    <mergeCell ref="B9:K9"/>
    <mergeCell ref="B8:K8"/>
    <mergeCell ref="B7:K7"/>
    <mergeCell ref="B12:F12"/>
    <mergeCell ref="B11:F11"/>
    <mergeCell ref="B13:F13"/>
    <mergeCell ref="A5:C5"/>
    <mergeCell ref="A6:C6"/>
    <mergeCell ref="A4:C4"/>
    <mergeCell ref="A3:C3"/>
    <mergeCell ref="A2:D2"/>
    <mergeCell ref="B27:K28"/>
    <mergeCell ref="B29:K30"/>
    <mergeCell ref="B16:F16"/>
    <mergeCell ref="B14:F14"/>
    <mergeCell ref="B15:F15"/>
    <mergeCell ref="B24:K24"/>
    <mergeCell ref="B25:K25"/>
    <mergeCell ref="B18:F18"/>
    <mergeCell ref="B20:F20"/>
    <mergeCell ref="B17:F1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6"/>
  <sheetViews>
    <sheetView topLeftCell="A68" zoomScale="90" zoomScaleNormal="90" workbookViewId="0">
      <selection activeCell="G11" sqref="G11"/>
    </sheetView>
  </sheetViews>
  <sheetFormatPr defaultRowHeight="15" x14ac:dyDescent="0.25"/>
  <cols>
    <col min="1" max="1" width="9.140625" style="42"/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1" width="15.7109375" customWidth="1"/>
    <col min="12" max="46" width="9.140625" style="42"/>
  </cols>
  <sheetData>
    <row r="1" spans="2:11" ht="18" x14ac:dyDescent="0.25"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2:11" ht="15.75" customHeight="1" x14ac:dyDescent="0.25">
      <c r="B2" s="179" t="s">
        <v>9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.75" customHeight="1" x14ac:dyDescent="0.25">
      <c r="B4" s="179" t="s">
        <v>38</v>
      </c>
      <c r="C4" s="179"/>
      <c r="D4" s="179"/>
      <c r="E4" s="179"/>
      <c r="F4" s="179"/>
      <c r="G4" s="179"/>
      <c r="H4" s="179"/>
      <c r="I4" s="179"/>
      <c r="J4" s="179"/>
      <c r="K4" s="179"/>
    </row>
    <row r="5" spans="2:11" ht="15.7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15.75" customHeight="1" x14ac:dyDescent="0.25">
      <c r="B6" s="179" t="s">
        <v>31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2:11" ht="18" x14ac:dyDescent="0.25">
      <c r="B7" s="192"/>
      <c r="C7" s="192"/>
      <c r="D7" s="192"/>
      <c r="E7" s="192"/>
      <c r="F7" s="192"/>
      <c r="G7" s="192"/>
      <c r="H7" s="192"/>
      <c r="I7" s="192"/>
      <c r="J7" s="192"/>
      <c r="K7" s="192"/>
    </row>
    <row r="8" spans="2:11" ht="45" customHeight="1" x14ac:dyDescent="0.25">
      <c r="B8" s="189" t="s">
        <v>7</v>
      </c>
      <c r="C8" s="190"/>
      <c r="D8" s="190"/>
      <c r="E8" s="190"/>
      <c r="F8" s="191"/>
      <c r="G8" s="23" t="s">
        <v>52</v>
      </c>
      <c r="H8" s="23" t="s">
        <v>49</v>
      </c>
      <c r="I8" s="23" t="s">
        <v>51</v>
      </c>
      <c r="J8" s="23" t="s">
        <v>18</v>
      </c>
      <c r="K8" s="23" t="s">
        <v>37</v>
      </c>
    </row>
    <row r="9" spans="2:11" x14ac:dyDescent="0.25">
      <c r="B9" s="186">
        <v>1</v>
      </c>
      <c r="C9" s="187"/>
      <c r="D9" s="187"/>
      <c r="E9" s="187"/>
      <c r="F9" s="188"/>
      <c r="G9" s="24">
        <v>2</v>
      </c>
      <c r="H9" s="24">
        <v>3</v>
      </c>
      <c r="I9" s="24">
        <v>5</v>
      </c>
      <c r="J9" s="24" t="s">
        <v>30</v>
      </c>
      <c r="K9" s="24" t="s">
        <v>116</v>
      </c>
    </row>
    <row r="10" spans="2:11" x14ac:dyDescent="0.25">
      <c r="B10" s="2"/>
      <c r="C10" s="2"/>
      <c r="D10" s="2"/>
      <c r="E10" s="2"/>
      <c r="F10" s="2" t="s">
        <v>36</v>
      </c>
      <c r="G10" s="35">
        <f>G11+G32+G36</f>
        <v>1082246.1499999999</v>
      </c>
      <c r="H10" s="35">
        <f>H11+H36</f>
        <v>1106082.49</v>
      </c>
      <c r="I10" s="37">
        <f>I11+I36</f>
        <v>1329189.5800000003</v>
      </c>
      <c r="J10" s="36">
        <f t="shared" ref="J10:J15" si="0">I10/G10*100</f>
        <v>122.81767692128085</v>
      </c>
      <c r="K10" s="36">
        <f>I10/H10*100</f>
        <v>120.17092685374671</v>
      </c>
    </row>
    <row r="11" spans="2:11" x14ac:dyDescent="0.25">
      <c r="B11" s="2">
        <v>6</v>
      </c>
      <c r="C11" s="2"/>
      <c r="D11" s="2"/>
      <c r="E11" s="2"/>
      <c r="F11" s="2" t="s">
        <v>3</v>
      </c>
      <c r="G11" s="32">
        <f>G12+G19+G22+G28</f>
        <v>1079845.22</v>
      </c>
      <c r="H11" s="32">
        <f>H12+H19+H22+H28</f>
        <v>1101871.83</v>
      </c>
      <c r="I11" s="32">
        <f>I12+I19+I22+I28</f>
        <v>1327936.7600000002</v>
      </c>
      <c r="J11" s="36">
        <f t="shared" si="0"/>
        <v>122.97473150828044</v>
      </c>
      <c r="K11" s="36">
        <f t="shared" ref="K11:K30" si="1">I11/H11*100</f>
        <v>120.51644518401021</v>
      </c>
    </row>
    <row r="12" spans="2:11" ht="25.5" x14ac:dyDescent="0.25">
      <c r="B12" s="2"/>
      <c r="C12" s="7">
        <v>63</v>
      </c>
      <c r="D12" s="7"/>
      <c r="E12" s="7"/>
      <c r="F12" s="7" t="s">
        <v>11</v>
      </c>
      <c r="G12" s="31">
        <f>G13+G16</f>
        <v>891974.17</v>
      </c>
      <c r="H12" s="31">
        <f>H13</f>
        <v>949287.3</v>
      </c>
      <c r="I12" s="36">
        <f>I13+I16</f>
        <v>1126152.7100000002</v>
      </c>
      <c r="J12" s="36">
        <f t="shared" si="0"/>
        <v>126.25395979796143</v>
      </c>
      <c r="K12" s="36">
        <f t="shared" si="1"/>
        <v>118.63138904312743</v>
      </c>
    </row>
    <row r="13" spans="2:11" ht="25.5" customHeight="1" x14ac:dyDescent="0.25">
      <c r="B13" s="3"/>
      <c r="C13" s="3"/>
      <c r="D13" s="3">
        <v>636</v>
      </c>
      <c r="E13" s="3"/>
      <c r="F13" s="18" t="s">
        <v>55</v>
      </c>
      <c r="G13" s="31">
        <f>G14+G15</f>
        <v>871402.49</v>
      </c>
      <c r="H13" s="31">
        <f>H14+H15</f>
        <v>949287.3</v>
      </c>
      <c r="I13" s="36">
        <v>1100948.6100000001</v>
      </c>
      <c r="J13" s="36">
        <f t="shared" si="0"/>
        <v>126.3421464402747</v>
      </c>
      <c r="K13" s="36">
        <f t="shared" si="1"/>
        <v>115.97633403501763</v>
      </c>
    </row>
    <row r="14" spans="2:11" ht="25.5" x14ac:dyDescent="0.25">
      <c r="B14" s="3"/>
      <c r="C14" s="3"/>
      <c r="D14" s="3"/>
      <c r="E14" s="3">
        <v>6361</v>
      </c>
      <c r="F14" s="33" t="s">
        <v>56</v>
      </c>
      <c r="G14" s="31">
        <v>856262.05</v>
      </c>
      <c r="H14" s="31">
        <f>780410.12+35612.18+584.26+3318.07</f>
        <v>819924.63</v>
      </c>
      <c r="I14" s="36">
        <v>1086739.0900000001</v>
      </c>
      <c r="J14" s="36">
        <f t="shared" si="0"/>
        <v>126.91664777155545</v>
      </c>
      <c r="K14" s="36">
        <f t="shared" si="1"/>
        <v>132.54133980583069</v>
      </c>
    </row>
    <row r="15" spans="2:11" ht="25.5" x14ac:dyDescent="0.25">
      <c r="B15" s="3"/>
      <c r="C15" s="3"/>
      <c r="D15" s="4"/>
      <c r="E15" s="3">
        <v>6362</v>
      </c>
      <c r="F15" s="18" t="s">
        <v>57</v>
      </c>
      <c r="G15" s="31">
        <v>15140.44</v>
      </c>
      <c r="H15" s="31">
        <f>110781.48+18581.19</f>
        <v>129362.67</v>
      </c>
      <c r="I15" s="36">
        <v>14209.52</v>
      </c>
      <c r="J15" s="36">
        <f t="shared" si="0"/>
        <v>93.85143364393636</v>
      </c>
      <c r="K15" s="36">
        <f t="shared" si="1"/>
        <v>10.984250711584725</v>
      </c>
    </row>
    <row r="16" spans="2:11" ht="25.5" customHeight="1" x14ac:dyDescent="0.25">
      <c r="B16" s="3"/>
      <c r="C16" s="3"/>
      <c r="D16" s="3">
        <v>639</v>
      </c>
      <c r="E16" s="3"/>
      <c r="F16" s="18" t="s">
        <v>58</v>
      </c>
      <c r="G16" s="31">
        <f>G17+G18</f>
        <v>20571.68</v>
      </c>
      <c r="H16" s="31"/>
      <c r="I16" s="36">
        <v>25204.1</v>
      </c>
      <c r="J16" s="36">
        <f t="shared" ref="J16:J35" si="2">I16/G16*100</f>
        <v>122.51843310803979</v>
      </c>
      <c r="K16" s="36">
        <v>0</v>
      </c>
    </row>
    <row r="17" spans="2:11" ht="25.5" customHeight="1" x14ac:dyDescent="0.25">
      <c r="B17" s="3"/>
      <c r="C17" s="3"/>
      <c r="D17" s="3"/>
      <c r="E17" s="3">
        <v>6391</v>
      </c>
      <c r="F17" s="18" t="s">
        <v>109</v>
      </c>
      <c r="G17" s="31">
        <v>0</v>
      </c>
      <c r="H17" s="31"/>
      <c r="I17" s="36">
        <v>8923.0400000000009</v>
      </c>
      <c r="J17" s="36">
        <v>0</v>
      </c>
      <c r="K17" s="36">
        <v>0</v>
      </c>
    </row>
    <row r="18" spans="2:11" ht="25.5" customHeight="1" x14ac:dyDescent="0.25">
      <c r="B18" s="3"/>
      <c r="C18" s="3"/>
      <c r="D18" s="3"/>
      <c r="E18" s="3">
        <v>6393</v>
      </c>
      <c r="F18" s="18" t="s">
        <v>59</v>
      </c>
      <c r="G18" s="31">
        <v>20571.68</v>
      </c>
      <c r="H18" s="31"/>
      <c r="I18" s="36">
        <v>16281.06</v>
      </c>
      <c r="J18" s="36">
        <f t="shared" si="2"/>
        <v>79.143074362424457</v>
      </c>
      <c r="K18" s="36">
        <v>0</v>
      </c>
    </row>
    <row r="19" spans="2:11" ht="25.5" customHeight="1" x14ac:dyDescent="0.25">
      <c r="B19" s="3"/>
      <c r="C19" s="3">
        <v>65</v>
      </c>
      <c r="D19" s="3"/>
      <c r="E19" s="3"/>
      <c r="F19" s="18" t="s">
        <v>60</v>
      </c>
      <c r="G19" s="31">
        <f>G20</f>
        <v>22104.62</v>
      </c>
      <c r="H19" s="31">
        <f>H20</f>
        <v>13517.15</v>
      </c>
      <c r="I19" s="36">
        <v>2134</v>
      </c>
      <c r="J19" s="36">
        <f t="shared" si="2"/>
        <v>9.6540904118686495</v>
      </c>
      <c r="K19" s="36">
        <f t="shared" si="1"/>
        <v>15.78735162367807</v>
      </c>
    </row>
    <row r="20" spans="2:11" ht="25.5" customHeight="1" x14ac:dyDescent="0.25">
      <c r="B20" s="3"/>
      <c r="C20" s="3"/>
      <c r="D20" s="3">
        <v>652</v>
      </c>
      <c r="E20" s="3"/>
      <c r="F20" s="18" t="s">
        <v>61</v>
      </c>
      <c r="G20" s="31">
        <f>G21</f>
        <v>22104.62</v>
      </c>
      <c r="H20" s="31">
        <f>H21</f>
        <v>13517.15</v>
      </c>
      <c r="I20" s="36">
        <v>2134</v>
      </c>
      <c r="J20" s="36">
        <f t="shared" si="2"/>
        <v>9.6540904118686495</v>
      </c>
      <c r="K20" s="36">
        <f t="shared" si="1"/>
        <v>15.78735162367807</v>
      </c>
    </row>
    <row r="21" spans="2:11" ht="25.5" customHeight="1" x14ac:dyDescent="0.25">
      <c r="B21" s="3"/>
      <c r="C21" s="3"/>
      <c r="D21" s="3"/>
      <c r="E21" s="3">
        <v>6526</v>
      </c>
      <c r="F21" s="18" t="s">
        <v>62</v>
      </c>
      <c r="G21" s="31">
        <v>22104.62</v>
      </c>
      <c r="H21" s="31">
        <v>13517.15</v>
      </c>
      <c r="I21" s="36">
        <v>2134</v>
      </c>
      <c r="J21" s="36">
        <f t="shared" si="2"/>
        <v>9.6540904118686495</v>
      </c>
      <c r="K21" s="36">
        <f t="shared" si="1"/>
        <v>15.78735162367807</v>
      </c>
    </row>
    <row r="22" spans="2:11" ht="25.5" x14ac:dyDescent="0.25">
      <c r="B22" s="3"/>
      <c r="C22" s="3">
        <v>66</v>
      </c>
      <c r="D22" s="4"/>
      <c r="E22" s="4"/>
      <c r="F22" s="7" t="s">
        <v>110</v>
      </c>
      <c r="G22" s="31">
        <f>G23+G25</f>
        <v>7969.13</v>
      </c>
      <c r="H22" s="31">
        <f>H23</f>
        <v>14000</v>
      </c>
      <c r="I22" s="36">
        <f>I23+I25</f>
        <v>14748.23</v>
      </c>
      <c r="J22" s="36">
        <f t="shared" si="2"/>
        <v>185.06700229510625</v>
      </c>
      <c r="K22" s="36">
        <f t="shared" si="1"/>
        <v>105.3445</v>
      </c>
    </row>
    <row r="23" spans="2:11" ht="25.5" x14ac:dyDescent="0.25">
      <c r="B23" s="3"/>
      <c r="C23" s="11"/>
      <c r="D23" s="3">
        <v>661</v>
      </c>
      <c r="E23" s="4"/>
      <c r="F23" s="7" t="s">
        <v>23</v>
      </c>
      <c r="G23" s="31">
        <f>G24</f>
        <v>6947.96</v>
      </c>
      <c r="H23" s="31">
        <f>H24</f>
        <v>14000</v>
      </c>
      <c r="I23" s="36">
        <v>10559.07</v>
      </c>
      <c r="J23" s="36">
        <f t="shared" si="2"/>
        <v>151.9736728478575</v>
      </c>
      <c r="K23" s="36">
        <f t="shared" si="1"/>
        <v>75.421928571428566</v>
      </c>
    </row>
    <row r="24" spans="2:11" ht="25.5" customHeight="1" x14ac:dyDescent="0.25">
      <c r="B24" s="3"/>
      <c r="C24" s="11"/>
      <c r="D24" s="4"/>
      <c r="E24" s="3">
        <v>6615</v>
      </c>
      <c r="F24" s="7" t="s">
        <v>63</v>
      </c>
      <c r="G24" s="31">
        <v>6947.96</v>
      </c>
      <c r="H24" s="31">
        <v>14000</v>
      </c>
      <c r="I24" s="36">
        <v>10559.07</v>
      </c>
      <c r="J24" s="36">
        <f t="shared" si="2"/>
        <v>151.9736728478575</v>
      </c>
      <c r="K24" s="36">
        <f t="shared" si="1"/>
        <v>75.421928571428566</v>
      </c>
    </row>
    <row r="25" spans="2:11" ht="25.5" customHeight="1" x14ac:dyDescent="0.25">
      <c r="B25" s="3"/>
      <c r="C25" s="3"/>
      <c r="D25" s="3">
        <v>663</v>
      </c>
      <c r="E25" s="4"/>
      <c r="F25" s="7" t="s">
        <v>64</v>
      </c>
      <c r="G25" s="31">
        <f>G26+G27</f>
        <v>1021.17</v>
      </c>
      <c r="H25" s="31"/>
      <c r="I25" s="36">
        <v>4189.16</v>
      </c>
      <c r="J25" s="36">
        <f t="shared" si="2"/>
        <v>410.23140123583738</v>
      </c>
      <c r="K25" s="36">
        <v>0</v>
      </c>
    </row>
    <row r="26" spans="2:11" ht="25.5" customHeight="1" x14ac:dyDescent="0.25">
      <c r="B26" s="3"/>
      <c r="C26" s="3"/>
      <c r="D26" s="3"/>
      <c r="E26" s="3">
        <v>6631</v>
      </c>
      <c r="F26" s="7" t="s">
        <v>65</v>
      </c>
      <c r="G26" s="31">
        <v>221.38</v>
      </c>
      <c r="H26" s="31"/>
      <c r="I26" s="36">
        <v>0</v>
      </c>
      <c r="J26" s="36">
        <f t="shared" si="2"/>
        <v>0</v>
      </c>
      <c r="K26" s="36">
        <v>0</v>
      </c>
    </row>
    <row r="27" spans="2:11" ht="25.5" customHeight="1" x14ac:dyDescent="0.25">
      <c r="B27" s="3"/>
      <c r="C27" s="3"/>
      <c r="D27" s="3"/>
      <c r="E27" s="3">
        <v>6632</v>
      </c>
      <c r="F27" s="7" t="s">
        <v>66</v>
      </c>
      <c r="G27" s="31">
        <v>799.79</v>
      </c>
      <c r="H27" s="31"/>
      <c r="I27" s="36">
        <v>4189.16</v>
      </c>
      <c r="J27" s="36">
        <f t="shared" si="2"/>
        <v>523.78249290438737</v>
      </c>
      <c r="K27" s="36">
        <v>0</v>
      </c>
    </row>
    <row r="28" spans="2:11" ht="25.5" customHeight="1" x14ac:dyDescent="0.25">
      <c r="B28" s="3"/>
      <c r="C28" s="3">
        <v>67</v>
      </c>
      <c r="D28" s="3"/>
      <c r="E28" s="3"/>
      <c r="F28" s="7" t="s">
        <v>67</v>
      </c>
      <c r="G28" s="31">
        <f>G29</f>
        <v>157797.29999999999</v>
      </c>
      <c r="H28" s="31">
        <f>H29</f>
        <v>125067.38</v>
      </c>
      <c r="I28" s="36">
        <f>I29</f>
        <v>184901.82</v>
      </c>
      <c r="J28" s="36">
        <f t="shared" si="2"/>
        <v>117.17679580068862</v>
      </c>
      <c r="K28" s="36">
        <f t="shared" si="1"/>
        <v>147.84176337586987</v>
      </c>
    </row>
    <row r="29" spans="2:11" ht="25.5" customHeight="1" x14ac:dyDescent="0.25">
      <c r="B29" s="3"/>
      <c r="C29" s="3"/>
      <c r="D29" s="3">
        <v>671</v>
      </c>
      <c r="E29" s="3"/>
      <c r="F29" s="7" t="s">
        <v>68</v>
      </c>
      <c r="G29" s="31">
        <f>G30+G31</f>
        <v>157797.29999999999</v>
      </c>
      <c r="H29" s="31">
        <f>H30</f>
        <v>125067.38</v>
      </c>
      <c r="I29" s="36">
        <v>184901.82</v>
      </c>
      <c r="J29" s="36">
        <f t="shared" si="2"/>
        <v>117.17679580068862</v>
      </c>
      <c r="K29" s="36">
        <f t="shared" si="1"/>
        <v>147.84176337586987</v>
      </c>
    </row>
    <row r="30" spans="2:11" ht="25.5" customHeight="1" x14ac:dyDescent="0.25">
      <c r="B30" s="3"/>
      <c r="C30" s="3"/>
      <c r="D30" s="3"/>
      <c r="E30" s="3">
        <v>6711</v>
      </c>
      <c r="F30" s="7" t="s">
        <v>69</v>
      </c>
      <c r="G30" s="31">
        <v>153886.12</v>
      </c>
      <c r="H30" s="31">
        <v>125067.38</v>
      </c>
      <c r="I30" s="36">
        <v>171757.76</v>
      </c>
      <c r="J30" s="36">
        <f t="shared" si="2"/>
        <v>111.61354903223241</v>
      </c>
      <c r="K30" s="36">
        <f t="shared" si="1"/>
        <v>137.33218046144407</v>
      </c>
    </row>
    <row r="31" spans="2:11" ht="25.5" customHeight="1" x14ac:dyDescent="0.25">
      <c r="B31" s="3"/>
      <c r="C31" s="3"/>
      <c r="D31" s="3"/>
      <c r="E31" s="3">
        <v>6712</v>
      </c>
      <c r="F31" s="7" t="s">
        <v>70</v>
      </c>
      <c r="G31" s="31">
        <v>3911.18</v>
      </c>
      <c r="H31" s="31"/>
      <c r="I31" s="36">
        <v>13144.06</v>
      </c>
      <c r="J31" s="36">
        <f t="shared" si="2"/>
        <v>336.06379660358255</v>
      </c>
      <c r="K31" s="36">
        <v>0</v>
      </c>
    </row>
    <row r="32" spans="2:11" x14ac:dyDescent="0.25">
      <c r="B32" s="11">
        <v>7</v>
      </c>
      <c r="C32" s="3"/>
      <c r="D32" s="4"/>
      <c r="E32" s="4"/>
      <c r="F32" s="2" t="s">
        <v>16</v>
      </c>
      <c r="G32" s="34">
        <f>G33</f>
        <v>28.05</v>
      </c>
      <c r="H32" s="34"/>
      <c r="I32" s="34">
        <v>0</v>
      </c>
      <c r="J32" s="36">
        <f t="shared" si="2"/>
        <v>0</v>
      </c>
      <c r="K32" s="36">
        <v>0</v>
      </c>
    </row>
    <row r="33" spans="2:11" ht="30.75" customHeight="1" x14ac:dyDescent="0.25">
      <c r="B33" s="3"/>
      <c r="C33" s="3">
        <v>72</v>
      </c>
      <c r="D33" s="4"/>
      <c r="E33" s="4"/>
      <c r="F33" s="18" t="s">
        <v>17</v>
      </c>
      <c r="G33" s="31">
        <v>28.05</v>
      </c>
      <c r="H33" s="31"/>
      <c r="I33" s="36">
        <v>0</v>
      </c>
      <c r="J33" s="36">
        <f t="shared" si="2"/>
        <v>0</v>
      </c>
      <c r="K33" s="36">
        <v>0</v>
      </c>
    </row>
    <row r="34" spans="2:11" x14ac:dyDescent="0.25">
      <c r="B34" s="3"/>
      <c r="C34" s="3"/>
      <c r="D34" s="3">
        <v>721</v>
      </c>
      <c r="E34" s="3"/>
      <c r="F34" s="18" t="s">
        <v>24</v>
      </c>
      <c r="G34" s="31">
        <v>28.05</v>
      </c>
      <c r="H34" s="31"/>
      <c r="I34" s="36">
        <v>0</v>
      </c>
      <c r="J34" s="36">
        <f t="shared" si="2"/>
        <v>0</v>
      </c>
      <c r="K34" s="36">
        <v>0</v>
      </c>
    </row>
    <row r="35" spans="2:11" x14ac:dyDescent="0.25">
      <c r="B35" s="3"/>
      <c r="C35" s="3"/>
      <c r="D35" s="3"/>
      <c r="E35" s="3">
        <v>7211</v>
      </c>
      <c r="F35" s="18" t="s">
        <v>25</v>
      </c>
      <c r="G35" s="31">
        <v>28.05</v>
      </c>
      <c r="H35" s="31"/>
      <c r="I35" s="36">
        <v>0</v>
      </c>
      <c r="J35" s="36">
        <f t="shared" si="2"/>
        <v>0</v>
      </c>
      <c r="K35" s="36">
        <v>0</v>
      </c>
    </row>
    <row r="36" spans="2:11" x14ac:dyDescent="0.25">
      <c r="B36" s="11">
        <v>9</v>
      </c>
      <c r="C36" s="3"/>
      <c r="D36" s="3"/>
      <c r="E36" s="3"/>
      <c r="F36" s="155" t="s">
        <v>222</v>
      </c>
      <c r="G36" s="35">
        <f t="shared" ref="G36:I37" si="3">G37</f>
        <v>2372.88</v>
      </c>
      <c r="H36" s="35">
        <f t="shared" si="3"/>
        <v>4210.66</v>
      </c>
      <c r="I36" s="37">
        <f t="shared" si="3"/>
        <v>1252.82</v>
      </c>
      <c r="J36" s="36"/>
      <c r="K36" s="36"/>
    </row>
    <row r="37" spans="2:11" x14ac:dyDescent="0.25">
      <c r="B37" s="3"/>
      <c r="C37" s="3">
        <v>92</v>
      </c>
      <c r="D37" s="3"/>
      <c r="E37" s="3"/>
      <c r="F37" s="18" t="s">
        <v>223</v>
      </c>
      <c r="G37" s="31">
        <f t="shared" si="3"/>
        <v>2372.88</v>
      </c>
      <c r="H37" s="31">
        <f t="shared" si="3"/>
        <v>4210.66</v>
      </c>
      <c r="I37" s="36">
        <f t="shared" si="3"/>
        <v>1252.82</v>
      </c>
      <c r="J37" s="36"/>
      <c r="K37" s="36"/>
    </row>
    <row r="38" spans="2:11" x14ac:dyDescent="0.25">
      <c r="B38" s="3"/>
      <c r="C38" s="3"/>
      <c r="D38" s="3">
        <v>922</v>
      </c>
      <c r="E38" s="3"/>
      <c r="F38" s="18" t="s">
        <v>224</v>
      </c>
      <c r="G38" s="31">
        <v>2372.88</v>
      </c>
      <c r="H38" s="31">
        <v>4210.66</v>
      </c>
      <c r="I38" s="36">
        <v>1252.82</v>
      </c>
      <c r="J38" s="36"/>
      <c r="K38" s="36"/>
    </row>
    <row r="39" spans="2:11" ht="18" x14ac:dyDescent="0.25">
      <c r="B39" s="185"/>
      <c r="C39" s="185"/>
      <c r="D39" s="185"/>
      <c r="E39" s="185"/>
      <c r="F39" s="185"/>
      <c r="G39" s="185"/>
      <c r="H39" s="185"/>
      <c r="I39" s="185"/>
      <c r="J39" s="185"/>
      <c r="K39" s="185"/>
    </row>
    <row r="40" spans="2:11" ht="36.75" customHeight="1" x14ac:dyDescent="0.25">
      <c r="B40" s="189" t="s">
        <v>7</v>
      </c>
      <c r="C40" s="190"/>
      <c r="D40" s="190"/>
      <c r="E40" s="190"/>
      <c r="F40" s="191"/>
      <c r="G40" s="23" t="s">
        <v>52</v>
      </c>
      <c r="H40" s="23" t="s">
        <v>49</v>
      </c>
      <c r="I40" s="23" t="s">
        <v>51</v>
      </c>
      <c r="J40" s="23" t="s">
        <v>18</v>
      </c>
      <c r="K40" s="23" t="s">
        <v>37</v>
      </c>
    </row>
    <row r="41" spans="2:11" x14ac:dyDescent="0.25">
      <c r="B41" s="186">
        <v>1</v>
      </c>
      <c r="C41" s="187"/>
      <c r="D41" s="187"/>
      <c r="E41" s="187"/>
      <c r="F41" s="188"/>
      <c r="G41" s="24">
        <v>2</v>
      </c>
      <c r="H41" s="24">
        <v>3</v>
      </c>
      <c r="I41" s="24">
        <v>5</v>
      </c>
      <c r="J41" s="24" t="s">
        <v>30</v>
      </c>
      <c r="K41" s="24" t="s">
        <v>116</v>
      </c>
    </row>
    <row r="42" spans="2:11" x14ac:dyDescent="0.25">
      <c r="B42" s="2"/>
      <c r="C42" s="2"/>
      <c r="D42" s="2"/>
      <c r="E42" s="2"/>
      <c r="F42" s="2" t="s">
        <v>35</v>
      </c>
      <c r="G42" s="35">
        <f>G43+G86</f>
        <v>1078441.1600000001</v>
      </c>
      <c r="H42" s="35">
        <f>H43+H86</f>
        <v>1106082.49</v>
      </c>
      <c r="I42" s="37">
        <f>I43+I86</f>
        <v>1311234.25</v>
      </c>
      <c r="J42" s="36">
        <f>I42/G42*100</f>
        <v>121.58607243811058</v>
      </c>
      <c r="K42" s="36">
        <f>I42/H42*100</f>
        <v>118.54760036929977</v>
      </c>
    </row>
    <row r="43" spans="2:11" x14ac:dyDescent="0.25">
      <c r="B43" s="2">
        <v>3</v>
      </c>
      <c r="C43" s="2"/>
      <c r="D43" s="2"/>
      <c r="E43" s="2"/>
      <c r="F43" s="2" t="s">
        <v>4</v>
      </c>
      <c r="G43" s="35">
        <f>G44+G52+G79+G83</f>
        <v>1056756.07</v>
      </c>
      <c r="H43" s="35">
        <f>H44+H52+H79+H83</f>
        <v>1085245.01</v>
      </c>
      <c r="I43" s="37">
        <f>I44+I52+I79+I83</f>
        <v>1298044.1399999999</v>
      </c>
      <c r="J43" s="36">
        <f t="shared" ref="J43:J95" si="4">I43/G43*100</f>
        <v>122.83290125790333</v>
      </c>
      <c r="K43" s="36">
        <f t="shared" ref="K43:K95" si="5">I43/H43*100</f>
        <v>119.60839515861952</v>
      </c>
    </row>
    <row r="44" spans="2:11" x14ac:dyDescent="0.25">
      <c r="B44" s="2"/>
      <c r="C44" s="7">
        <v>31</v>
      </c>
      <c r="D44" s="7"/>
      <c r="E44" s="7"/>
      <c r="F44" s="7" t="s">
        <v>5</v>
      </c>
      <c r="G44" s="31">
        <f>G45+G47+G49</f>
        <v>839204.59</v>
      </c>
      <c r="H44" s="31">
        <f>H45+H47+H49</f>
        <v>803247.7300000001</v>
      </c>
      <c r="I44" s="36">
        <f>I45+I47+I49</f>
        <v>1031258.2</v>
      </c>
      <c r="J44" s="36">
        <f t="shared" si="4"/>
        <v>122.88519537291853</v>
      </c>
      <c r="K44" s="36">
        <f t="shared" si="5"/>
        <v>128.38607088251587</v>
      </c>
    </row>
    <row r="45" spans="2:11" x14ac:dyDescent="0.25">
      <c r="B45" s="3"/>
      <c r="C45" s="3"/>
      <c r="D45" s="3">
        <v>311</v>
      </c>
      <c r="E45" s="3"/>
      <c r="F45" s="3" t="s">
        <v>26</v>
      </c>
      <c r="G45" s="31">
        <f>G46</f>
        <v>692039.1</v>
      </c>
      <c r="H45" s="31">
        <f>H46</f>
        <v>670524.92000000004</v>
      </c>
      <c r="I45" s="36">
        <f>I46</f>
        <v>851595.23</v>
      </c>
      <c r="J45" s="36">
        <f t="shared" si="4"/>
        <v>123.0559414923232</v>
      </c>
      <c r="K45" s="36">
        <f t="shared" si="5"/>
        <v>127.0042625708825</v>
      </c>
    </row>
    <row r="46" spans="2:11" x14ac:dyDescent="0.25">
      <c r="B46" s="3"/>
      <c r="C46" s="3"/>
      <c r="D46" s="3"/>
      <c r="E46" s="3">
        <v>3111</v>
      </c>
      <c r="F46" s="3" t="s">
        <v>27</v>
      </c>
      <c r="G46" s="31">
        <v>692039.1</v>
      </c>
      <c r="H46" s="31">
        <f>610524.92+60000</f>
        <v>670524.92000000004</v>
      </c>
      <c r="I46" s="36">
        <f>788050.76+31365.87+32178.6</f>
        <v>851595.23</v>
      </c>
      <c r="J46" s="36">
        <f t="shared" si="4"/>
        <v>123.0559414923232</v>
      </c>
      <c r="K46" s="36">
        <f t="shared" si="5"/>
        <v>127.0042625708825</v>
      </c>
    </row>
    <row r="47" spans="2:11" x14ac:dyDescent="0.25">
      <c r="B47" s="3"/>
      <c r="C47" s="3"/>
      <c r="D47" s="3">
        <v>312</v>
      </c>
      <c r="E47" s="3"/>
      <c r="F47" s="3" t="s">
        <v>71</v>
      </c>
      <c r="G47" s="31">
        <f>G48</f>
        <v>33067.65</v>
      </c>
      <c r="H47" s="31">
        <f>H48</f>
        <v>26544.560000000001</v>
      </c>
      <c r="I47" s="36">
        <f>I48</f>
        <v>44326.2</v>
      </c>
      <c r="J47" s="36">
        <f t="shared" si="4"/>
        <v>134.04702178715451</v>
      </c>
      <c r="K47" s="36">
        <f t="shared" si="5"/>
        <v>166.98788753703204</v>
      </c>
    </row>
    <row r="48" spans="2:11" x14ac:dyDescent="0.25">
      <c r="B48" s="3"/>
      <c r="C48" s="3"/>
      <c r="D48" s="3"/>
      <c r="E48" s="3">
        <v>3121</v>
      </c>
      <c r="F48" s="3" t="s">
        <v>71</v>
      </c>
      <c r="G48" s="31">
        <f>30519.36+1075.06+1473.23</f>
        <v>33067.65</v>
      </c>
      <c r="H48" s="31">
        <v>26544.560000000001</v>
      </c>
      <c r="I48" s="36">
        <f>41263.5+3062.7</f>
        <v>44326.2</v>
      </c>
      <c r="J48" s="36">
        <f t="shared" si="4"/>
        <v>134.04702178715451</v>
      </c>
      <c r="K48" s="36">
        <f t="shared" si="5"/>
        <v>166.98788753703204</v>
      </c>
    </row>
    <row r="49" spans="2:11" x14ac:dyDescent="0.25">
      <c r="B49" s="3"/>
      <c r="C49" s="3"/>
      <c r="D49" s="3">
        <v>313</v>
      </c>
      <c r="E49" s="3"/>
      <c r="F49" s="3" t="s">
        <v>117</v>
      </c>
      <c r="G49" s="31">
        <f>G50+G51</f>
        <v>114097.84</v>
      </c>
      <c r="H49" s="31">
        <f>H50</f>
        <v>106178.25</v>
      </c>
      <c r="I49" s="36">
        <f>I50</f>
        <v>135336.76999999999</v>
      </c>
      <c r="J49" s="36">
        <f t="shared" si="4"/>
        <v>118.6146643968019</v>
      </c>
      <c r="K49" s="36">
        <f t="shared" si="5"/>
        <v>127.46185777218967</v>
      </c>
    </row>
    <row r="50" spans="2:11" x14ac:dyDescent="0.25">
      <c r="B50" s="3"/>
      <c r="C50" s="3"/>
      <c r="D50" s="3"/>
      <c r="E50" s="3">
        <v>3132</v>
      </c>
      <c r="F50" s="3" t="s">
        <v>72</v>
      </c>
      <c r="G50" s="31">
        <v>114097.84</v>
      </c>
      <c r="H50" s="31">
        <v>106178.25</v>
      </c>
      <c r="I50" s="36">
        <f>130027.3+5309.47</f>
        <v>135336.76999999999</v>
      </c>
      <c r="J50" s="36">
        <f t="shared" si="4"/>
        <v>118.6146643968019</v>
      </c>
      <c r="K50" s="36">
        <f t="shared" si="5"/>
        <v>127.46185777218967</v>
      </c>
    </row>
    <row r="51" spans="2:11" ht="25.5" x14ac:dyDescent="0.25">
      <c r="B51" s="3"/>
      <c r="C51" s="3"/>
      <c r="D51" s="3"/>
      <c r="E51" s="3">
        <v>3133</v>
      </c>
      <c r="F51" s="18" t="s">
        <v>73</v>
      </c>
      <c r="G51" s="31">
        <v>0</v>
      </c>
      <c r="H51" s="31"/>
      <c r="I51" s="36"/>
      <c r="J51" s="36">
        <v>0</v>
      </c>
      <c r="K51" s="36">
        <v>0</v>
      </c>
    </row>
    <row r="52" spans="2:11" x14ac:dyDescent="0.25">
      <c r="B52" s="3"/>
      <c r="C52" s="3">
        <v>32</v>
      </c>
      <c r="D52" s="4"/>
      <c r="E52" s="4"/>
      <c r="F52" s="3" t="s">
        <v>10</v>
      </c>
      <c r="G52" s="31">
        <f>G53+G57+G64+G73</f>
        <v>217317.46</v>
      </c>
      <c r="H52" s="31">
        <f>H53+H57+H64+H73</f>
        <v>281333.02</v>
      </c>
      <c r="I52" s="36">
        <f>I53+I57+I64+I73</f>
        <v>266121.68</v>
      </c>
      <c r="J52" s="36">
        <f t="shared" si="4"/>
        <v>122.45756967709821</v>
      </c>
      <c r="K52" s="36">
        <f t="shared" si="5"/>
        <v>94.593119570536004</v>
      </c>
    </row>
    <row r="53" spans="2:11" x14ac:dyDescent="0.25">
      <c r="B53" s="3"/>
      <c r="C53" s="3"/>
      <c r="D53" s="3">
        <v>321</v>
      </c>
      <c r="E53" s="3"/>
      <c r="F53" s="3" t="s">
        <v>28</v>
      </c>
      <c r="G53" s="31">
        <f>G54+G55+G56</f>
        <v>45113.299999999996</v>
      </c>
      <c r="H53" s="31">
        <f>H54+H55+H56</f>
        <v>39540.340000000004</v>
      </c>
      <c r="I53" s="36">
        <f>I54+I55+I56</f>
        <v>44851.99</v>
      </c>
      <c r="J53" s="36">
        <f t="shared" si="4"/>
        <v>99.420769484830416</v>
      </c>
      <c r="K53" s="36">
        <f t="shared" si="5"/>
        <v>113.43349601950817</v>
      </c>
    </row>
    <row r="54" spans="2:11" x14ac:dyDescent="0.25">
      <c r="B54" s="3"/>
      <c r="C54" s="11"/>
      <c r="D54" s="3"/>
      <c r="E54" s="3">
        <v>3211</v>
      </c>
      <c r="F54" s="18" t="s">
        <v>29</v>
      </c>
      <c r="G54" s="31">
        <f>132.73+1315.11</f>
        <v>1447.84</v>
      </c>
      <c r="H54" s="31">
        <f>1189.15+2000</f>
        <v>3189.15</v>
      </c>
      <c r="I54" s="36">
        <f>1394.2+1667.77</f>
        <v>3061.9700000000003</v>
      </c>
      <c r="J54" s="36">
        <f t="shared" si="4"/>
        <v>211.48538512542828</v>
      </c>
      <c r="K54" s="36">
        <f t="shared" si="5"/>
        <v>96.012103538560439</v>
      </c>
    </row>
    <row r="55" spans="2:11" ht="25.5" x14ac:dyDescent="0.25">
      <c r="B55" s="3"/>
      <c r="C55" s="11"/>
      <c r="D55" s="4"/>
      <c r="E55" s="3">
        <v>3212</v>
      </c>
      <c r="F55" s="18" t="s">
        <v>74</v>
      </c>
      <c r="G55" s="31">
        <f>39879.65+431.46+3182.34</f>
        <v>43493.45</v>
      </c>
      <c r="H55" s="31">
        <v>35835.160000000003</v>
      </c>
      <c r="I55" s="36">
        <f>38877.24+2398.38</f>
        <v>41275.619999999995</v>
      </c>
      <c r="J55" s="36">
        <f t="shared" si="4"/>
        <v>94.900772415156766</v>
      </c>
      <c r="K55" s="36">
        <f t="shared" si="5"/>
        <v>115.18190514567254</v>
      </c>
    </row>
    <row r="56" spans="2:11" x14ac:dyDescent="0.25">
      <c r="B56" s="3"/>
      <c r="C56" s="11"/>
      <c r="D56" s="4"/>
      <c r="E56" s="3">
        <v>3214</v>
      </c>
      <c r="F56" s="18" t="s">
        <v>75</v>
      </c>
      <c r="G56" s="31">
        <v>172.01</v>
      </c>
      <c r="H56" s="31">
        <v>516.03</v>
      </c>
      <c r="I56" s="36">
        <f>514.4</f>
        <v>514.4</v>
      </c>
      <c r="J56" s="36">
        <f t="shared" si="4"/>
        <v>299.05238067554211</v>
      </c>
      <c r="K56" s="36">
        <f t="shared" si="5"/>
        <v>99.68412689184737</v>
      </c>
    </row>
    <row r="57" spans="2:11" x14ac:dyDescent="0.25">
      <c r="B57" s="3"/>
      <c r="C57" s="3"/>
      <c r="D57" s="3">
        <v>322</v>
      </c>
      <c r="E57" s="4"/>
      <c r="F57" s="3" t="s">
        <v>76</v>
      </c>
      <c r="G57" s="31">
        <f>G58+G59+G60+G61+G62+G63</f>
        <v>63600.71</v>
      </c>
      <c r="H57" s="31">
        <f>H58+H59+H60+H61+H62+H63</f>
        <v>85816.58</v>
      </c>
      <c r="I57" s="36">
        <f>I58+I59+I60+I61+I62</f>
        <v>86318.91</v>
      </c>
      <c r="J57" s="36">
        <f t="shared" si="4"/>
        <v>135.72004149010286</v>
      </c>
      <c r="K57" s="36">
        <f t="shared" si="5"/>
        <v>100.58535308678114</v>
      </c>
    </row>
    <row r="58" spans="2:11" x14ac:dyDescent="0.25">
      <c r="B58" s="3"/>
      <c r="C58" s="3"/>
      <c r="D58" s="3"/>
      <c r="E58" s="3">
        <v>3221</v>
      </c>
      <c r="F58" s="3" t="s">
        <v>77</v>
      </c>
      <c r="G58" s="31">
        <f>3318.07+1409.16</f>
        <v>4727.2300000000005</v>
      </c>
      <c r="H58" s="31">
        <f>2500+1000</f>
        <v>3500</v>
      </c>
      <c r="I58" s="36">
        <f>2481.05+8.31</f>
        <v>2489.36</v>
      </c>
      <c r="J58" s="36">
        <f t="shared" si="4"/>
        <v>52.660014427053468</v>
      </c>
      <c r="K58" s="36">
        <f t="shared" si="5"/>
        <v>71.124571428571443</v>
      </c>
    </row>
    <row r="59" spans="2:11" x14ac:dyDescent="0.25">
      <c r="B59" s="3"/>
      <c r="C59" s="3"/>
      <c r="D59" s="3"/>
      <c r="E59" s="3">
        <v>3222</v>
      </c>
      <c r="F59" s="3" t="s">
        <v>78</v>
      </c>
      <c r="G59" s="31">
        <f>3318.07+1202.41+18196.11</f>
        <v>22716.59</v>
      </c>
      <c r="H59" s="31">
        <f>1582.85+3000+10000+2712.58+35612.18</f>
        <v>52907.61</v>
      </c>
      <c r="I59" s="36">
        <f>1582.85+2174.34+1713.58+49630.55</f>
        <v>55101.320000000007</v>
      </c>
      <c r="J59" s="36">
        <f t="shared" si="4"/>
        <v>242.5598208181774</v>
      </c>
      <c r="K59" s="36">
        <f t="shared" si="5"/>
        <v>104.14630333897148</v>
      </c>
    </row>
    <row r="60" spans="2:11" x14ac:dyDescent="0.25">
      <c r="B60" s="3"/>
      <c r="C60" s="3"/>
      <c r="D60" s="3"/>
      <c r="E60" s="3">
        <v>3223</v>
      </c>
      <c r="F60" s="3" t="s">
        <v>79</v>
      </c>
      <c r="G60" s="31">
        <f>4866.08+27651.02</f>
        <v>32517.1</v>
      </c>
      <c r="H60" s="31">
        <f>5000+20631</f>
        <v>25631</v>
      </c>
      <c r="I60" s="36">
        <f>25583.04</f>
        <v>25583.040000000001</v>
      </c>
      <c r="J60" s="36">
        <f t="shared" si="4"/>
        <v>78.675650657653989</v>
      </c>
      <c r="K60" s="36">
        <f t="shared" si="5"/>
        <v>99.812882837189349</v>
      </c>
    </row>
    <row r="61" spans="2:11" ht="25.5" x14ac:dyDescent="0.25">
      <c r="B61" s="3"/>
      <c r="C61" s="3"/>
      <c r="D61" s="3"/>
      <c r="E61" s="3">
        <v>3224</v>
      </c>
      <c r="F61" s="18" t="s">
        <v>80</v>
      </c>
      <c r="G61" s="31">
        <f>2002.46+924.92</f>
        <v>2927.38</v>
      </c>
      <c r="H61" s="31">
        <v>1420</v>
      </c>
      <c r="I61" s="36">
        <f>1224.12+799</f>
        <v>2023.12</v>
      </c>
      <c r="J61" s="36">
        <f t="shared" si="4"/>
        <v>69.110262418954832</v>
      </c>
      <c r="K61" s="36">
        <f t="shared" si="5"/>
        <v>142.47323943661971</v>
      </c>
    </row>
    <row r="62" spans="2:11" x14ac:dyDescent="0.25">
      <c r="B62" s="3"/>
      <c r="C62" s="3"/>
      <c r="D62" s="3"/>
      <c r="E62" s="3">
        <v>3225</v>
      </c>
      <c r="F62" s="3" t="s">
        <v>81</v>
      </c>
      <c r="G62" s="31">
        <f>253.83+0.04+392.17</f>
        <v>646.04</v>
      </c>
      <c r="H62" s="31">
        <f>327.08+1500+398.17</f>
        <v>2225.25</v>
      </c>
      <c r="I62" s="36">
        <f>327.08+794.99</f>
        <v>1122.07</v>
      </c>
      <c r="J62" s="36">
        <f t="shared" si="4"/>
        <v>173.68429199430375</v>
      </c>
      <c r="K62" s="36">
        <f t="shared" si="5"/>
        <v>50.424446691382983</v>
      </c>
    </row>
    <row r="63" spans="2:11" x14ac:dyDescent="0.25">
      <c r="B63" s="3"/>
      <c r="C63" s="3"/>
      <c r="D63" s="3"/>
      <c r="E63" s="3">
        <v>3227</v>
      </c>
      <c r="F63" s="3" t="s">
        <v>82</v>
      </c>
      <c r="G63" s="31">
        <f>66.37</f>
        <v>66.37</v>
      </c>
      <c r="H63" s="31">
        <v>132.72</v>
      </c>
      <c r="I63" s="36"/>
      <c r="J63" s="36">
        <f t="shared" si="4"/>
        <v>0</v>
      </c>
      <c r="K63" s="36">
        <f t="shared" si="5"/>
        <v>0</v>
      </c>
    </row>
    <row r="64" spans="2:11" x14ac:dyDescent="0.25">
      <c r="B64" s="3"/>
      <c r="C64" s="3"/>
      <c r="D64" s="3">
        <v>323</v>
      </c>
      <c r="E64" s="3"/>
      <c r="F64" s="3" t="s">
        <v>83</v>
      </c>
      <c r="G64" s="31">
        <f>G65+G66+G67+G68+G69+G70+G71+G72</f>
        <v>95154.029999999984</v>
      </c>
      <c r="H64" s="31">
        <f>H65+H66+H67+H68+H69+H71+H72</f>
        <v>97841.25</v>
      </c>
      <c r="I64" s="36">
        <f>I65+I66+I67+I68+I70+I71+I72</f>
        <v>122222.22</v>
      </c>
      <c r="J64" s="36">
        <f t="shared" si="4"/>
        <v>128.44670898331896</v>
      </c>
      <c r="K64" s="36">
        <f t="shared" si="5"/>
        <v>124.91890690276341</v>
      </c>
    </row>
    <row r="65" spans="2:11" x14ac:dyDescent="0.25">
      <c r="B65" s="3"/>
      <c r="C65" s="3"/>
      <c r="D65" s="3"/>
      <c r="E65" s="3">
        <v>3231</v>
      </c>
      <c r="F65" s="3" t="s">
        <v>84</v>
      </c>
      <c r="G65" s="31">
        <f>4406.4</f>
        <v>4406.3999999999996</v>
      </c>
      <c r="H65" s="31">
        <v>1800</v>
      </c>
      <c r="I65" s="36">
        <f>1800+790.41</f>
        <v>2590.41</v>
      </c>
      <c r="J65" s="36">
        <f t="shared" si="4"/>
        <v>58.787445533769066</v>
      </c>
      <c r="K65" s="36">
        <f t="shared" si="5"/>
        <v>143.91166666666666</v>
      </c>
    </row>
    <row r="66" spans="2:11" x14ac:dyDescent="0.25">
      <c r="B66" s="3"/>
      <c r="C66" s="3"/>
      <c r="D66" s="3"/>
      <c r="E66" s="3">
        <v>3232</v>
      </c>
      <c r="F66" s="3" t="s">
        <v>85</v>
      </c>
      <c r="G66" s="31">
        <f>2919.91+7641.98</f>
        <v>10561.89</v>
      </c>
      <c r="H66" s="31">
        <f>4000+2000</f>
        <v>6000</v>
      </c>
      <c r="I66" s="36">
        <f>4000+7573.47+720.3</f>
        <v>12293.77</v>
      </c>
      <c r="J66" s="36">
        <f t="shared" si="4"/>
        <v>116.39744401806875</v>
      </c>
      <c r="K66" s="36">
        <f t="shared" si="5"/>
        <v>204.89616666666666</v>
      </c>
    </row>
    <row r="67" spans="2:11" x14ac:dyDescent="0.25">
      <c r="B67" s="3"/>
      <c r="C67" s="3"/>
      <c r="D67" s="3"/>
      <c r="E67" s="3">
        <v>3234</v>
      </c>
      <c r="F67" s="3" t="s">
        <v>86</v>
      </c>
      <c r="G67" s="31">
        <f>4778.55+329.62</f>
        <v>5108.17</v>
      </c>
      <c r="H67" s="31">
        <f>5000+3000+663.61</f>
        <v>8663.61</v>
      </c>
      <c r="I67" s="36">
        <f>5070.33+1565.23</f>
        <v>6635.5599999999995</v>
      </c>
      <c r="J67" s="36">
        <f t="shared" si="4"/>
        <v>129.90092342267386</v>
      </c>
      <c r="K67" s="36">
        <f t="shared" si="5"/>
        <v>76.591166961578367</v>
      </c>
    </row>
    <row r="68" spans="2:11" x14ac:dyDescent="0.25">
      <c r="B68" s="3"/>
      <c r="C68" s="3"/>
      <c r="D68" s="3"/>
      <c r="E68" s="3">
        <v>3235</v>
      </c>
      <c r="F68" s="3" t="s">
        <v>87</v>
      </c>
      <c r="G68" s="31">
        <f>67358.68</f>
        <v>67358.679999999993</v>
      </c>
      <c r="H68" s="31">
        <v>76558.59</v>
      </c>
      <c r="I68" s="36">
        <f>96046.55</f>
        <v>96046.55</v>
      </c>
      <c r="J68" s="36">
        <f t="shared" si="4"/>
        <v>142.5897152378877</v>
      </c>
      <c r="K68" s="36">
        <f t="shared" si="5"/>
        <v>125.45496201014153</v>
      </c>
    </row>
    <row r="69" spans="2:11" x14ac:dyDescent="0.25">
      <c r="B69" s="3"/>
      <c r="C69" s="3"/>
      <c r="D69" s="3"/>
      <c r="E69" s="3">
        <v>3236</v>
      </c>
      <c r="F69" s="3" t="s">
        <v>88</v>
      </c>
      <c r="G69" s="31">
        <f>2229.75+538.86+234.92+202.41</f>
        <v>3205.94</v>
      </c>
      <c r="H69" s="31">
        <f>791.57+331.81</f>
        <v>1123.3800000000001</v>
      </c>
      <c r="I69" s="36"/>
      <c r="J69" s="36">
        <f t="shared" si="4"/>
        <v>0</v>
      </c>
      <c r="K69" s="36">
        <f t="shared" si="5"/>
        <v>0</v>
      </c>
    </row>
    <row r="70" spans="2:11" x14ac:dyDescent="0.25">
      <c r="B70" s="3"/>
      <c r="C70" s="3"/>
      <c r="D70" s="3"/>
      <c r="E70" s="3">
        <v>3237</v>
      </c>
      <c r="F70" s="3" t="s">
        <v>89</v>
      </c>
      <c r="G70" s="31">
        <v>898.89</v>
      </c>
      <c r="H70" s="31"/>
      <c r="I70" s="36">
        <f>1177.93</f>
        <v>1177.93</v>
      </c>
      <c r="J70" s="36">
        <f t="shared" si="4"/>
        <v>131.04273047870151</v>
      </c>
      <c r="K70" s="36">
        <v>0</v>
      </c>
    </row>
    <row r="71" spans="2:11" x14ac:dyDescent="0.25">
      <c r="B71" s="3"/>
      <c r="C71" s="3"/>
      <c r="D71" s="3"/>
      <c r="E71" s="3">
        <v>3238</v>
      </c>
      <c r="F71" s="3" t="s">
        <v>90</v>
      </c>
      <c r="G71" s="31">
        <f>3105.72</f>
        <v>3105.72</v>
      </c>
      <c r="H71" s="31">
        <v>2800</v>
      </c>
      <c r="I71" s="36">
        <f>2800+180.5</f>
        <v>2980.5</v>
      </c>
      <c r="J71" s="36">
        <f t="shared" si="4"/>
        <v>95.968084695336358</v>
      </c>
      <c r="K71" s="36">
        <f t="shared" si="5"/>
        <v>106.44642857142857</v>
      </c>
    </row>
    <row r="72" spans="2:11" x14ac:dyDescent="0.25">
      <c r="B72" s="3"/>
      <c r="C72" s="3"/>
      <c r="D72" s="3"/>
      <c r="E72" s="3">
        <v>3239</v>
      </c>
      <c r="F72" s="3" t="s">
        <v>91</v>
      </c>
      <c r="G72" s="31">
        <f>265.45+242.89</f>
        <v>508.34</v>
      </c>
      <c r="H72" s="31">
        <f>497.5+398.17</f>
        <v>895.67000000000007</v>
      </c>
      <c r="I72" s="36">
        <f>497.5</f>
        <v>497.5</v>
      </c>
      <c r="J72" s="36">
        <f t="shared" si="4"/>
        <v>97.867568949915423</v>
      </c>
      <c r="K72" s="36">
        <f t="shared" si="5"/>
        <v>55.545010997353927</v>
      </c>
    </row>
    <row r="73" spans="2:11" x14ac:dyDescent="0.25">
      <c r="B73" s="3"/>
      <c r="C73" s="3"/>
      <c r="D73" s="3">
        <v>329</v>
      </c>
      <c r="E73" s="3"/>
      <c r="F73" s="3" t="s">
        <v>92</v>
      </c>
      <c r="G73" s="31">
        <f>G74+G75+G76+G77+G78</f>
        <v>13449.42</v>
      </c>
      <c r="H73" s="31">
        <f>H74+H75+H76+H77+H78</f>
        <v>58134.850000000006</v>
      </c>
      <c r="I73" s="36">
        <f>I74+I75+I76+I78</f>
        <v>12728.560000000001</v>
      </c>
      <c r="J73" s="36">
        <f t="shared" si="4"/>
        <v>94.640214968377819</v>
      </c>
      <c r="K73" s="36">
        <f t="shared" si="5"/>
        <v>21.894887490033945</v>
      </c>
    </row>
    <row r="74" spans="2:11" x14ac:dyDescent="0.25">
      <c r="B74" s="3"/>
      <c r="C74" s="3"/>
      <c r="D74" s="3"/>
      <c r="E74" s="3">
        <v>3292</v>
      </c>
      <c r="F74" s="3" t="s">
        <v>93</v>
      </c>
      <c r="G74" s="31">
        <v>449.99</v>
      </c>
      <c r="H74" s="31">
        <v>517.62</v>
      </c>
      <c r="I74" s="36">
        <f>115.18</f>
        <v>115.18</v>
      </c>
      <c r="J74" s="36">
        <f t="shared" si="4"/>
        <v>25.596124358319074</v>
      </c>
      <c r="K74" s="36">
        <f t="shared" si="5"/>
        <v>22.25184498280592</v>
      </c>
    </row>
    <row r="75" spans="2:11" x14ac:dyDescent="0.25">
      <c r="B75" s="3"/>
      <c r="C75" s="3"/>
      <c r="D75" s="3"/>
      <c r="E75" s="3">
        <v>3294</v>
      </c>
      <c r="F75" s="3" t="s">
        <v>94</v>
      </c>
      <c r="G75" s="31">
        <f>2490.73</f>
        <v>2490.73</v>
      </c>
      <c r="H75" s="31">
        <v>163.09</v>
      </c>
      <c r="I75" s="36">
        <f>163.09</f>
        <v>163.09</v>
      </c>
      <c r="J75" s="36">
        <f t="shared" si="4"/>
        <v>6.5478795373243983</v>
      </c>
      <c r="K75" s="36">
        <f t="shared" si="5"/>
        <v>100</v>
      </c>
    </row>
    <row r="76" spans="2:11" x14ac:dyDescent="0.25">
      <c r="B76" s="3"/>
      <c r="C76" s="3"/>
      <c r="D76" s="3"/>
      <c r="E76" s="3">
        <v>3295</v>
      </c>
      <c r="F76" s="3" t="s">
        <v>111</v>
      </c>
      <c r="G76" s="31">
        <f>2850.23</f>
        <v>2850.23</v>
      </c>
      <c r="H76" s="31">
        <v>1327.23</v>
      </c>
      <c r="I76" s="36">
        <f>3328.86</f>
        <v>3328.86</v>
      </c>
      <c r="J76" s="36">
        <v>0</v>
      </c>
      <c r="K76" s="36">
        <f t="shared" si="5"/>
        <v>250.81259465201961</v>
      </c>
    </row>
    <row r="77" spans="2:11" x14ac:dyDescent="0.25">
      <c r="B77" s="3"/>
      <c r="C77" s="3"/>
      <c r="D77" s="3"/>
      <c r="E77" s="3">
        <v>3296</v>
      </c>
      <c r="F77" s="3" t="s">
        <v>95</v>
      </c>
      <c r="G77" s="31">
        <f>413.78</f>
        <v>413.78</v>
      </c>
      <c r="H77" s="31">
        <v>50000</v>
      </c>
      <c r="I77" s="36"/>
      <c r="J77" s="36">
        <f t="shared" si="4"/>
        <v>0</v>
      </c>
      <c r="K77" s="36">
        <f t="shared" si="5"/>
        <v>0</v>
      </c>
    </row>
    <row r="78" spans="2:11" x14ac:dyDescent="0.25">
      <c r="B78" s="3"/>
      <c r="C78" s="3"/>
      <c r="D78" s="3"/>
      <c r="E78" s="3">
        <v>3299</v>
      </c>
      <c r="F78" s="3" t="s">
        <v>92</v>
      </c>
      <c r="G78" s="31">
        <v>7244.69</v>
      </c>
      <c r="H78" s="31">
        <f>208.93+1500+1498.08+1327.23+1592.67</f>
        <v>6126.91</v>
      </c>
      <c r="I78" s="36">
        <f>205.33+1551.11+4122.43+2133.42+1109.14</f>
        <v>9121.43</v>
      </c>
      <c r="J78" s="36">
        <f t="shared" si="4"/>
        <v>125.90504217571767</v>
      </c>
      <c r="K78" s="36">
        <f t="shared" si="5"/>
        <v>148.87488146553486</v>
      </c>
    </row>
    <row r="79" spans="2:11" x14ac:dyDescent="0.25">
      <c r="B79" s="3"/>
      <c r="C79" s="3">
        <v>34</v>
      </c>
      <c r="D79" s="3"/>
      <c r="E79" s="3"/>
      <c r="F79" s="3" t="s">
        <v>96</v>
      </c>
      <c r="G79" s="31">
        <f>G80</f>
        <v>234.02</v>
      </c>
      <c r="H79" s="31">
        <f>H80</f>
        <v>80</v>
      </c>
      <c r="I79" s="36">
        <f>I80</f>
        <v>80</v>
      </c>
      <c r="J79" s="36">
        <f t="shared" si="4"/>
        <v>34.185112383556962</v>
      </c>
      <c r="K79" s="36">
        <f t="shared" si="5"/>
        <v>100</v>
      </c>
    </row>
    <row r="80" spans="2:11" x14ac:dyDescent="0.25">
      <c r="B80" s="3"/>
      <c r="C80" s="3"/>
      <c r="D80" s="3">
        <v>343</v>
      </c>
      <c r="E80" s="3"/>
      <c r="F80" s="3" t="s">
        <v>97</v>
      </c>
      <c r="G80" s="31">
        <f>G81+G82</f>
        <v>234.02</v>
      </c>
      <c r="H80" s="31">
        <f>H81</f>
        <v>80</v>
      </c>
      <c r="I80" s="36">
        <f>I81</f>
        <v>80</v>
      </c>
      <c r="J80" s="36">
        <f t="shared" si="4"/>
        <v>34.185112383556962</v>
      </c>
      <c r="K80" s="36">
        <f t="shared" si="5"/>
        <v>100</v>
      </c>
    </row>
    <row r="81" spans="2:11" x14ac:dyDescent="0.25">
      <c r="B81" s="3"/>
      <c r="C81" s="3"/>
      <c r="D81" s="3"/>
      <c r="E81" s="3">
        <v>3431</v>
      </c>
      <c r="F81" s="3" t="s">
        <v>98</v>
      </c>
      <c r="G81" s="31">
        <f>234.02</f>
        <v>234.02</v>
      </c>
      <c r="H81" s="31">
        <v>80</v>
      </c>
      <c r="I81" s="36">
        <f>80</f>
        <v>80</v>
      </c>
      <c r="J81" s="36">
        <f t="shared" si="4"/>
        <v>34.185112383556962</v>
      </c>
      <c r="K81" s="36">
        <f t="shared" si="5"/>
        <v>100</v>
      </c>
    </row>
    <row r="82" spans="2:11" x14ac:dyDescent="0.25">
      <c r="B82" s="3"/>
      <c r="C82" s="3"/>
      <c r="D82" s="3"/>
      <c r="E82" s="3">
        <v>3433</v>
      </c>
      <c r="F82" s="3" t="s">
        <v>99</v>
      </c>
      <c r="G82" s="31">
        <v>0</v>
      </c>
      <c r="H82" s="31"/>
      <c r="I82" s="36"/>
      <c r="J82" s="36">
        <v>0</v>
      </c>
      <c r="K82" s="36">
        <v>0</v>
      </c>
    </row>
    <row r="83" spans="2:11" x14ac:dyDescent="0.25">
      <c r="B83" s="3"/>
      <c r="C83" s="3">
        <v>38</v>
      </c>
      <c r="D83" s="3"/>
      <c r="E83" s="3"/>
      <c r="F83" s="3" t="s">
        <v>112</v>
      </c>
      <c r="G83" s="31">
        <v>0</v>
      </c>
      <c r="H83" s="31">
        <f>H84</f>
        <v>584.26</v>
      </c>
      <c r="I83" s="36">
        <f>I84</f>
        <v>584.26</v>
      </c>
      <c r="J83" s="36">
        <v>0</v>
      </c>
      <c r="K83" s="36">
        <f t="shared" si="5"/>
        <v>100</v>
      </c>
    </row>
    <row r="84" spans="2:11" x14ac:dyDescent="0.25">
      <c r="B84" s="3"/>
      <c r="C84" s="3"/>
      <c r="D84" s="3">
        <v>381</v>
      </c>
      <c r="E84" s="3"/>
      <c r="F84" s="3" t="s">
        <v>65</v>
      </c>
      <c r="G84" s="31">
        <v>0</v>
      </c>
      <c r="H84" s="31">
        <f>H85</f>
        <v>584.26</v>
      </c>
      <c r="I84" s="36">
        <f>I85</f>
        <v>584.26</v>
      </c>
      <c r="J84" s="36">
        <v>0</v>
      </c>
      <c r="K84" s="36">
        <f t="shared" si="5"/>
        <v>100</v>
      </c>
    </row>
    <row r="85" spans="2:11" x14ac:dyDescent="0.25">
      <c r="B85" s="3"/>
      <c r="C85" s="3"/>
      <c r="D85" s="3"/>
      <c r="E85" s="3">
        <v>3812</v>
      </c>
      <c r="F85" s="3" t="s">
        <v>113</v>
      </c>
      <c r="G85" s="31">
        <v>0</v>
      </c>
      <c r="H85" s="31">
        <v>584.26</v>
      </c>
      <c r="I85" s="36">
        <f>584.26</f>
        <v>584.26</v>
      </c>
      <c r="J85" s="36">
        <v>0</v>
      </c>
      <c r="K85" s="36">
        <f t="shared" si="5"/>
        <v>100</v>
      </c>
    </row>
    <row r="86" spans="2:11" x14ac:dyDescent="0.25">
      <c r="B86" s="5">
        <v>4</v>
      </c>
      <c r="C86" s="6"/>
      <c r="D86" s="6"/>
      <c r="E86" s="6"/>
      <c r="F86" s="9" t="s">
        <v>6</v>
      </c>
      <c r="G86" s="35">
        <f>G87</f>
        <v>21685.09</v>
      </c>
      <c r="H86" s="35">
        <f>H87</f>
        <v>20837.48</v>
      </c>
      <c r="I86" s="37">
        <f>I87</f>
        <v>13190.11</v>
      </c>
      <c r="J86" s="36">
        <f t="shared" si="4"/>
        <v>60.825710199957669</v>
      </c>
      <c r="K86" s="36">
        <f t="shared" si="5"/>
        <v>63.299928782175193</v>
      </c>
    </row>
    <row r="87" spans="2:11" ht="23.25" customHeight="1" x14ac:dyDescent="0.25">
      <c r="B87" s="7"/>
      <c r="C87" s="7">
        <v>42</v>
      </c>
      <c r="D87" s="7"/>
      <c r="E87" s="7"/>
      <c r="F87" s="10" t="s">
        <v>100</v>
      </c>
      <c r="G87" s="31">
        <f>G88+G94+G96</f>
        <v>21685.09</v>
      </c>
      <c r="H87" s="31">
        <f>H88+H94</f>
        <v>20837.48</v>
      </c>
      <c r="I87" s="36">
        <f>I88+I94+I96</f>
        <v>13190.11</v>
      </c>
      <c r="J87" s="36">
        <f t="shared" si="4"/>
        <v>60.825710199957669</v>
      </c>
      <c r="K87" s="36">
        <f t="shared" si="5"/>
        <v>63.299928782175193</v>
      </c>
    </row>
    <row r="88" spans="2:11" x14ac:dyDescent="0.25">
      <c r="B88" s="7"/>
      <c r="C88" s="7"/>
      <c r="D88" s="3">
        <v>422</v>
      </c>
      <c r="E88" s="3"/>
      <c r="F88" s="3" t="s">
        <v>101</v>
      </c>
      <c r="G88" s="31">
        <f>G89+G90+G91+G92+G93</f>
        <v>6546.7699999999995</v>
      </c>
      <c r="H88" s="31">
        <f>H89</f>
        <v>1990.84</v>
      </c>
      <c r="I88" s="36">
        <f>I89</f>
        <v>1289</v>
      </c>
      <c r="J88" s="36">
        <f t="shared" si="4"/>
        <v>19.689098593657636</v>
      </c>
      <c r="K88" s="36">
        <f t="shared" si="5"/>
        <v>64.746539149303814</v>
      </c>
    </row>
    <row r="89" spans="2:11" x14ac:dyDescent="0.25">
      <c r="B89" s="7"/>
      <c r="C89" s="7"/>
      <c r="D89" s="3"/>
      <c r="E89" s="3">
        <v>4221</v>
      </c>
      <c r="F89" s="3" t="s">
        <v>102</v>
      </c>
      <c r="G89" s="31">
        <f>3620.85+418.91</f>
        <v>4039.7599999999998</v>
      </c>
      <c r="H89" s="31">
        <v>1990.84</v>
      </c>
      <c r="I89" s="36">
        <f>1289</f>
        <v>1289</v>
      </c>
      <c r="J89" s="36">
        <f t="shared" si="4"/>
        <v>31.907836109075788</v>
      </c>
      <c r="K89" s="36">
        <f t="shared" si="5"/>
        <v>64.746539149303814</v>
      </c>
    </row>
    <row r="90" spans="2:11" x14ac:dyDescent="0.25">
      <c r="B90" s="7"/>
      <c r="C90" s="7"/>
      <c r="D90" s="3"/>
      <c r="E90" s="3">
        <v>4222</v>
      </c>
      <c r="F90" s="3" t="s">
        <v>103</v>
      </c>
      <c r="G90" s="31">
        <v>0</v>
      </c>
      <c r="H90" s="31"/>
      <c r="I90" s="36"/>
      <c r="J90" s="36">
        <v>0</v>
      </c>
      <c r="K90" s="36">
        <v>0</v>
      </c>
    </row>
    <row r="91" spans="2:11" x14ac:dyDescent="0.25">
      <c r="B91" s="7"/>
      <c r="C91" s="7"/>
      <c r="D91" s="3"/>
      <c r="E91" s="3">
        <v>4223</v>
      </c>
      <c r="F91" s="3" t="s">
        <v>104</v>
      </c>
      <c r="G91" s="31">
        <v>0</v>
      </c>
      <c r="H91" s="31"/>
      <c r="I91" s="36"/>
      <c r="J91" s="36">
        <v>0</v>
      </c>
      <c r="K91" s="36">
        <v>0</v>
      </c>
    </row>
    <row r="92" spans="2:11" x14ac:dyDescent="0.25">
      <c r="B92" s="7"/>
      <c r="C92" s="7"/>
      <c r="D92" s="3"/>
      <c r="E92" s="3">
        <v>4226</v>
      </c>
      <c r="F92" s="3" t="s">
        <v>105</v>
      </c>
      <c r="G92" s="31">
        <v>796.21</v>
      </c>
      <c r="H92" s="31"/>
      <c r="I92" s="36"/>
      <c r="J92" s="36">
        <f t="shared" si="4"/>
        <v>0</v>
      </c>
      <c r="K92" s="36">
        <v>0</v>
      </c>
    </row>
    <row r="93" spans="2:11" x14ac:dyDescent="0.25">
      <c r="B93" s="7"/>
      <c r="C93" s="7"/>
      <c r="D93" s="3"/>
      <c r="E93" s="3">
        <v>4227</v>
      </c>
      <c r="F93" s="3" t="s">
        <v>106</v>
      </c>
      <c r="G93" s="31">
        <v>1710.8</v>
      </c>
      <c r="H93" s="31"/>
      <c r="I93" s="36"/>
      <c r="J93" s="36">
        <f t="shared" si="4"/>
        <v>0</v>
      </c>
      <c r="K93" s="36">
        <v>0</v>
      </c>
    </row>
    <row r="94" spans="2:11" ht="25.5" x14ac:dyDescent="0.25">
      <c r="B94" s="7"/>
      <c r="C94" s="7"/>
      <c r="D94" s="3">
        <v>424</v>
      </c>
      <c r="E94" s="3"/>
      <c r="F94" s="18" t="s">
        <v>107</v>
      </c>
      <c r="G94" s="31">
        <f>G95</f>
        <v>15138.32</v>
      </c>
      <c r="H94" s="31">
        <f>H95</f>
        <v>18846.64</v>
      </c>
      <c r="I94" s="36">
        <f>I95</f>
        <v>2891.11</v>
      </c>
      <c r="J94" s="36">
        <f t="shared" si="4"/>
        <v>19.097958029688897</v>
      </c>
      <c r="K94" s="36">
        <f t="shared" si="5"/>
        <v>15.340187959233054</v>
      </c>
    </row>
    <row r="95" spans="2:11" x14ac:dyDescent="0.25">
      <c r="B95" s="7"/>
      <c r="C95" s="7"/>
      <c r="D95" s="3"/>
      <c r="E95" s="3">
        <v>4241</v>
      </c>
      <c r="F95" s="3" t="s">
        <v>108</v>
      </c>
      <c r="G95" s="31">
        <f>396.05+14742.27</f>
        <v>15138.32</v>
      </c>
      <c r="H95" s="31">
        <f>265.45+18581.19</f>
        <v>18846.64</v>
      </c>
      <c r="I95" s="36">
        <f>2454.73+436.38</f>
        <v>2891.11</v>
      </c>
      <c r="J95" s="36">
        <f t="shared" si="4"/>
        <v>19.097958029688897</v>
      </c>
      <c r="K95" s="36">
        <f t="shared" si="5"/>
        <v>15.340187959233054</v>
      </c>
    </row>
    <row r="96" spans="2:11" x14ac:dyDescent="0.25">
      <c r="B96" s="20"/>
      <c r="C96" s="20"/>
      <c r="D96" s="38">
        <v>426</v>
      </c>
      <c r="E96" s="20"/>
      <c r="F96" s="38" t="s">
        <v>114</v>
      </c>
      <c r="G96" s="39">
        <v>0</v>
      </c>
      <c r="H96" s="39"/>
      <c r="I96" s="39">
        <f>I97</f>
        <v>9010</v>
      </c>
      <c r="J96" s="36">
        <v>0</v>
      </c>
      <c r="K96" s="36">
        <v>0</v>
      </c>
    </row>
    <row r="97" spans="2:11" x14ac:dyDescent="0.25">
      <c r="B97" s="20"/>
      <c r="C97" s="20"/>
      <c r="D97" s="20"/>
      <c r="E97" s="38">
        <v>4264</v>
      </c>
      <c r="F97" s="38" t="s">
        <v>115</v>
      </c>
      <c r="G97" s="39">
        <v>0</v>
      </c>
      <c r="H97" s="39"/>
      <c r="I97" s="39">
        <f>9010</f>
        <v>9010</v>
      </c>
      <c r="J97" s="36">
        <v>0</v>
      </c>
      <c r="K97" s="36">
        <v>0</v>
      </c>
    </row>
    <row r="98" spans="2:11" s="42" customFormat="1" ht="15" customHeight="1" x14ac:dyDescent="0.25"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2:11" s="42" customFormat="1" x14ac:dyDescent="0.25">
      <c r="B99" s="49"/>
      <c r="C99" s="49"/>
      <c r="D99" s="49"/>
      <c r="E99" s="49"/>
      <c r="F99" s="49"/>
      <c r="G99" s="49"/>
      <c r="H99" s="49"/>
      <c r="I99" s="49"/>
      <c r="J99" s="49"/>
      <c r="K99" s="49"/>
    </row>
    <row r="100" spans="2:11" s="42" customFormat="1" ht="4.5" customHeight="1" x14ac:dyDescent="0.25"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2:11" s="42" customFormat="1" x14ac:dyDescent="0.25"/>
    <row r="102" spans="2:11" s="42" customFormat="1" x14ac:dyDescent="0.25"/>
    <row r="103" spans="2:11" s="42" customFormat="1" x14ac:dyDescent="0.25"/>
    <row r="104" spans="2:11" s="42" customFormat="1" x14ac:dyDescent="0.25"/>
    <row r="105" spans="2:11" s="42" customFormat="1" x14ac:dyDescent="0.25"/>
    <row r="106" spans="2:11" s="42" customFormat="1" x14ac:dyDescent="0.25"/>
    <row r="107" spans="2:11" s="42" customFormat="1" x14ac:dyDescent="0.25"/>
    <row r="108" spans="2:11" s="42" customFormat="1" x14ac:dyDescent="0.25"/>
    <row r="109" spans="2:11" s="42" customFormat="1" x14ac:dyDescent="0.25"/>
    <row r="110" spans="2:11" s="42" customFormat="1" x14ac:dyDescent="0.25"/>
    <row r="111" spans="2:11" s="42" customFormat="1" x14ac:dyDescent="0.25"/>
    <row r="112" spans="2:11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</sheetData>
  <mergeCells count="10">
    <mergeCell ref="B1:K1"/>
    <mergeCell ref="B2:K2"/>
    <mergeCell ref="B4:K4"/>
    <mergeCell ref="B6:K6"/>
    <mergeCell ref="B41:F41"/>
    <mergeCell ref="B9:F9"/>
    <mergeCell ref="B40:F40"/>
    <mergeCell ref="B8:F8"/>
    <mergeCell ref="B7:K7"/>
    <mergeCell ref="B39:K39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zoomScaleNormal="100" workbookViewId="0">
      <selection activeCell="C14" sqref="C14"/>
    </sheetView>
  </sheetViews>
  <sheetFormatPr defaultRowHeight="15" x14ac:dyDescent="0.25"/>
  <cols>
    <col min="1" max="1" width="9.140625" style="42"/>
    <col min="2" max="2" width="37.7109375" customWidth="1"/>
    <col min="3" max="4" width="25.28515625" customWidth="1"/>
    <col min="5" max="5" width="26.85546875" customWidth="1"/>
    <col min="6" max="7" width="15.7109375" customWidth="1"/>
    <col min="8" max="25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9" t="s">
        <v>32</v>
      </c>
      <c r="C2" s="179"/>
      <c r="D2" s="179"/>
      <c r="E2" s="179"/>
      <c r="F2" s="179"/>
      <c r="G2" s="179"/>
    </row>
    <row r="3" spans="2:7" ht="18" x14ac:dyDescent="0.25">
      <c r="B3" s="28"/>
      <c r="C3" s="28"/>
      <c r="D3" s="28"/>
      <c r="E3" s="29"/>
      <c r="F3" s="29"/>
      <c r="G3" s="29"/>
    </row>
    <row r="4" spans="2:7" ht="33.75" customHeight="1" x14ac:dyDescent="0.25">
      <c r="B4" s="23" t="s">
        <v>7</v>
      </c>
      <c r="C4" s="23" t="s">
        <v>52</v>
      </c>
      <c r="D4" s="23" t="s">
        <v>49</v>
      </c>
      <c r="E4" s="23" t="s">
        <v>51</v>
      </c>
      <c r="F4" s="23" t="s">
        <v>18</v>
      </c>
      <c r="G4" s="23" t="s">
        <v>37</v>
      </c>
    </row>
    <row r="5" spans="2:7" x14ac:dyDescent="0.25">
      <c r="B5" s="23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116</v>
      </c>
    </row>
    <row r="6" spans="2:7" x14ac:dyDescent="0.25">
      <c r="B6" s="2" t="s">
        <v>34</v>
      </c>
      <c r="C6" s="34">
        <f>C7+C10+C12+C16+C20+C22</f>
        <v>1082246.1499999999</v>
      </c>
      <c r="D6" s="34">
        <f>D10+D12+D16</f>
        <v>1106082.49</v>
      </c>
      <c r="E6" s="34">
        <f>E7+E10+E12+E16+E20</f>
        <v>1329189.58</v>
      </c>
      <c r="F6" s="55">
        <f>E6/C6*100</f>
        <v>122.81767692128082</v>
      </c>
      <c r="G6" s="55">
        <f>E6/D6*100</f>
        <v>120.17092685374668</v>
      </c>
    </row>
    <row r="7" spans="2:7" x14ac:dyDescent="0.25">
      <c r="B7" s="2" t="s">
        <v>12</v>
      </c>
      <c r="C7" s="35">
        <f>C8+C9</f>
        <v>15562.73</v>
      </c>
      <c r="D7" s="31"/>
      <c r="E7" s="55">
        <f>E8</f>
        <v>29566.94</v>
      </c>
      <c r="F7" s="55">
        <f>E7/C7*100</f>
        <v>189.98556165916904</v>
      </c>
      <c r="G7" s="51"/>
    </row>
    <row r="8" spans="2:7" x14ac:dyDescent="0.25">
      <c r="B8" s="15" t="s">
        <v>13</v>
      </c>
      <c r="C8" s="31">
        <v>7626.71</v>
      </c>
      <c r="D8" s="31"/>
      <c r="E8" s="51">
        <f>1260.78+10561.11+7009.2+3504.6+1500+2754.62+578.25+2398.38</f>
        <v>29566.94</v>
      </c>
      <c r="F8" s="56">
        <f t="shared" ref="F8:F40" si="0">E8/C8*100</f>
        <v>387.67620638519099</v>
      </c>
      <c r="G8" s="51"/>
    </row>
    <row r="9" spans="2:7" x14ac:dyDescent="0.25">
      <c r="B9" s="16" t="s">
        <v>122</v>
      </c>
      <c r="C9" s="31">
        <v>7936.02</v>
      </c>
      <c r="D9" s="31"/>
      <c r="E9" s="51"/>
      <c r="F9" s="56">
        <f t="shared" si="0"/>
        <v>0</v>
      </c>
      <c r="G9" s="51"/>
    </row>
    <row r="10" spans="2:7" x14ac:dyDescent="0.25">
      <c r="B10" s="2" t="s">
        <v>14</v>
      </c>
      <c r="C10" s="35">
        <f>C11</f>
        <v>6947.96</v>
      </c>
      <c r="D10" s="35">
        <f>D11</f>
        <v>14000</v>
      </c>
      <c r="E10" s="55">
        <f>E11</f>
        <v>10559.07</v>
      </c>
      <c r="F10" s="55">
        <f t="shared" si="0"/>
        <v>151.9736728478575</v>
      </c>
      <c r="G10" s="55">
        <f t="shared" ref="G10:G37" si="1">E10/D10*100</f>
        <v>75.421928571428566</v>
      </c>
    </row>
    <row r="11" spans="2:7" x14ac:dyDescent="0.25">
      <c r="B11" s="17" t="s">
        <v>15</v>
      </c>
      <c r="C11" s="31">
        <v>6947.96</v>
      </c>
      <c r="D11" s="31">
        <v>14000</v>
      </c>
      <c r="E11" s="51">
        <v>10559.07</v>
      </c>
      <c r="F11" s="56">
        <f t="shared" si="0"/>
        <v>151.9736728478575</v>
      </c>
      <c r="G11" s="51">
        <f t="shared" si="1"/>
        <v>75.421928571428566</v>
      </c>
    </row>
    <row r="12" spans="2:7" x14ac:dyDescent="0.25">
      <c r="B12" s="52" t="s">
        <v>123</v>
      </c>
      <c r="C12" s="35">
        <f>C13+C14+C15</f>
        <v>166712.07999999999</v>
      </c>
      <c r="D12" s="35">
        <f>D13+D14+D15</f>
        <v>142795.19</v>
      </c>
      <c r="E12" s="55">
        <f>E13+E15</f>
        <v>158729.66</v>
      </c>
      <c r="F12" s="55">
        <f t="shared" si="0"/>
        <v>95.211852674383294</v>
      </c>
      <c r="G12" s="55">
        <f t="shared" si="1"/>
        <v>111.15896830978691</v>
      </c>
    </row>
    <row r="13" spans="2:7" x14ac:dyDescent="0.25">
      <c r="B13" s="16" t="s">
        <v>124</v>
      </c>
      <c r="C13" s="31">
        <v>22104.62</v>
      </c>
      <c r="D13" s="31">
        <v>13517.15</v>
      </c>
      <c r="E13" s="51">
        <v>2134</v>
      </c>
      <c r="F13" s="56">
        <f t="shared" si="0"/>
        <v>9.6540904118686495</v>
      </c>
      <c r="G13" s="51">
        <f t="shared" si="1"/>
        <v>15.78735162367807</v>
      </c>
    </row>
    <row r="14" spans="2:7" x14ac:dyDescent="0.25">
      <c r="B14" s="16" t="s">
        <v>125</v>
      </c>
      <c r="C14" s="31">
        <v>2372.88</v>
      </c>
      <c r="D14" s="31">
        <v>4210.66</v>
      </c>
      <c r="E14" s="51"/>
      <c r="F14" s="56">
        <f t="shared" si="0"/>
        <v>0</v>
      </c>
      <c r="G14" s="51">
        <f t="shared" si="1"/>
        <v>0</v>
      </c>
    </row>
    <row r="15" spans="2:7" x14ac:dyDescent="0.25">
      <c r="B15" s="53" t="s">
        <v>126</v>
      </c>
      <c r="C15" s="31">
        <v>142234.57999999999</v>
      </c>
      <c r="D15" s="31">
        <v>125067.38</v>
      </c>
      <c r="E15" s="51">
        <f>144379.46+2554.73+8372.47+1289</f>
        <v>156595.66</v>
      </c>
      <c r="F15" s="56">
        <f t="shared" si="0"/>
        <v>110.09675706146847</v>
      </c>
      <c r="G15" s="51">
        <f t="shared" si="1"/>
        <v>125.20903532160024</v>
      </c>
    </row>
    <row r="16" spans="2:7" x14ac:dyDescent="0.25">
      <c r="B16" s="2" t="s">
        <v>127</v>
      </c>
      <c r="C16" s="35">
        <f>C17+C18+C19</f>
        <v>891974.17</v>
      </c>
      <c r="D16" s="35">
        <f>D17+D18</f>
        <v>949287.29999999993</v>
      </c>
      <c r="E16" s="55">
        <f>E17+E19</f>
        <v>1126152.7100000002</v>
      </c>
      <c r="F16" s="55">
        <f t="shared" si="0"/>
        <v>126.25395979796143</v>
      </c>
      <c r="G16" s="55">
        <f t="shared" si="1"/>
        <v>118.63138904312744</v>
      </c>
    </row>
    <row r="17" spans="2:7" x14ac:dyDescent="0.25">
      <c r="B17" s="17" t="s">
        <v>128</v>
      </c>
      <c r="C17" s="31">
        <v>873173.89</v>
      </c>
      <c r="D17" s="31">
        <f>780410.12+35612.18+584.26+110781.48+18581.19</f>
        <v>945969.23</v>
      </c>
      <c r="E17" s="51">
        <f>1001547.66+85191.43+14209.52+7430.08+389.01+1103.95</f>
        <v>1109871.6500000001</v>
      </c>
      <c r="F17" s="56">
        <f t="shared" si="0"/>
        <v>127.10774597256913</v>
      </c>
      <c r="G17" s="51">
        <f t="shared" si="1"/>
        <v>117.32640077521339</v>
      </c>
    </row>
    <row r="18" spans="2:7" x14ac:dyDescent="0.25">
      <c r="B18" s="17" t="s">
        <v>129</v>
      </c>
      <c r="C18" s="31">
        <v>3757.41</v>
      </c>
      <c r="D18" s="31">
        <v>3318.07</v>
      </c>
      <c r="E18" s="51"/>
      <c r="F18" s="56">
        <f t="shared" si="0"/>
        <v>0</v>
      </c>
      <c r="G18" s="51">
        <f t="shared" si="1"/>
        <v>0</v>
      </c>
    </row>
    <row r="19" spans="2:7" x14ac:dyDescent="0.25">
      <c r="B19" s="17" t="s">
        <v>130</v>
      </c>
      <c r="C19" s="31">
        <v>15042.87</v>
      </c>
      <c r="D19" s="31"/>
      <c r="E19" s="51">
        <f>7544.12+6690.6+862.7+700+483.64</f>
        <v>16281.060000000001</v>
      </c>
      <c r="F19" s="56">
        <f t="shared" si="0"/>
        <v>108.23107558597529</v>
      </c>
      <c r="G19" s="51"/>
    </row>
    <row r="20" spans="2:7" x14ac:dyDescent="0.25">
      <c r="B20" s="2" t="s">
        <v>133</v>
      </c>
      <c r="C20" s="35">
        <f>C21</f>
        <v>1021.16</v>
      </c>
      <c r="D20" s="31"/>
      <c r="E20" s="55">
        <f>E21</f>
        <v>4181.2</v>
      </c>
      <c r="F20" s="55">
        <f t="shared" si="0"/>
        <v>409.45591288338755</v>
      </c>
      <c r="G20" s="51"/>
    </row>
    <row r="21" spans="2:7" x14ac:dyDescent="0.25">
      <c r="B21" s="17" t="s">
        <v>134</v>
      </c>
      <c r="C21" s="31">
        <v>1021.16</v>
      </c>
      <c r="D21" s="31"/>
      <c r="E21" s="51">
        <v>4181.2</v>
      </c>
      <c r="F21" s="56">
        <f t="shared" si="0"/>
        <v>409.45591288338755</v>
      </c>
      <c r="G21" s="51"/>
    </row>
    <row r="22" spans="2:7" ht="25.5" x14ac:dyDescent="0.25">
      <c r="B22" s="2" t="s">
        <v>131</v>
      </c>
      <c r="C22" s="35">
        <f>C23</f>
        <v>28.05</v>
      </c>
      <c r="D22" s="31"/>
      <c r="E22" s="51"/>
      <c r="F22" s="56">
        <f t="shared" si="0"/>
        <v>0</v>
      </c>
      <c r="G22" s="51"/>
    </row>
    <row r="23" spans="2:7" ht="25.5" x14ac:dyDescent="0.25">
      <c r="B23" s="17" t="s">
        <v>132</v>
      </c>
      <c r="C23" s="31">
        <v>28.05</v>
      </c>
      <c r="D23" s="31"/>
      <c r="E23" s="51"/>
      <c r="F23" s="56">
        <f t="shared" si="0"/>
        <v>0</v>
      </c>
      <c r="G23" s="51"/>
    </row>
    <row r="24" spans="2:7" x14ac:dyDescent="0.25">
      <c r="B24" s="17"/>
      <c r="C24" s="31"/>
      <c r="D24" s="31"/>
      <c r="E24" s="51"/>
      <c r="F24" s="56"/>
      <c r="G24" s="51"/>
    </row>
    <row r="25" spans="2:7" ht="15.75" customHeight="1" x14ac:dyDescent="0.25">
      <c r="B25" s="2" t="s">
        <v>35</v>
      </c>
      <c r="C25" s="35">
        <f>C26+C29+C31+C35+C39</f>
        <v>1078441.1600000001</v>
      </c>
      <c r="D25" s="35">
        <f>D29+D31+D35</f>
        <v>1106082.49</v>
      </c>
      <c r="E25" s="55">
        <f>E26+E29+E31+E35</f>
        <v>1311234.24</v>
      </c>
      <c r="F25" s="55">
        <f t="shared" si="0"/>
        <v>121.58607151084624</v>
      </c>
      <c r="G25" s="55">
        <f t="shared" si="1"/>
        <v>118.54759946520805</v>
      </c>
    </row>
    <row r="26" spans="2:7" ht="15.75" customHeight="1" x14ac:dyDescent="0.25">
      <c r="B26" s="2" t="s">
        <v>12</v>
      </c>
      <c r="C26" s="35">
        <f>C27+C28</f>
        <v>15562.720000000001</v>
      </c>
      <c r="D26" s="31"/>
      <c r="E26" s="55">
        <f>E27</f>
        <v>47539.68</v>
      </c>
      <c r="F26" s="55">
        <f t="shared" si="0"/>
        <v>305.47153710919429</v>
      </c>
      <c r="G26" s="51"/>
    </row>
    <row r="27" spans="2:7" x14ac:dyDescent="0.25">
      <c r="B27" s="15" t="s">
        <v>13</v>
      </c>
      <c r="C27" s="31">
        <v>7626.7</v>
      </c>
      <c r="D27" s="31"/>
      <c r="E27" s="51">
        <v>47539.68</v>
      </c>
      <c r="F27" s="56">
        <f t="shared" si="0"/>
        <v>623.33224068076629</v>
      </c>
      <c r="G27" s="51"/>
    </row>
    <row r="28" spans="2:7" x14ac:dyDescent="0.25">
      <c r="B28" s="16" t="s">
        <v>122</v>
      </c>
      <c r="C28" s="31">
        <f>7936.02</f>
        <v>7936.02</v>
      </c>
      <c r="D28" s="31"/>
      <c r="E28" s="51"/>
      <c r="F28" s="56">
        <f t="shared" si="0"/>
        <v>0</v>
      </c>
      <c r="G28" s="51"/>
    </row>
    <row r="29" spans="2:7" x14ac:dyDescent="0.25">
      <c r="B29" s="2" t="s">
        <v>14</v>
      </c>
      <c r="C29" s="35">
        <f>C30</f>
        <v>5964.18</v>
      </c>
      <c r="D29" s="35">
        <f>D30</f>
        <v>14000</v>
      </c>
      <c r="E29" s="55">
        <f>E30</f>
        <v>9999.59</v>
      </c>
      <c r="F29" s="55">
        <f t="shared" si="0"/>
        <v>167.66076811900379</v>
      </c>
      <c r="G29" s="55">
        <f t="shared" si="1"/>
        <v>71.425642857142861</v>
      </c>
    </row>
    <row r="30" spans="2:7" x14ac:dyDescent="0.25">
      <c r="B30" s="17" t="s">
        <v>15</v>
      </c>
      <c r="C30" s="31">
        <v>5964.18</v>
      </c>
      <c r="D30" s="31">
        <f>2000+1000+3000+1500+2000+3000+1500</f>
        <v>14000</v>
      </c>
      <c r="E30" s="51">
        <v>9999.59</v>
      </c>
      <c r="F30" s="56">
        <f t="shared" si="0"/>
        <v>167.66076811900379</v>
      </c>
      <c r="G30" s="51">
        <f t="shared" si="1"/>
        <v>71.425642857142861</v>
      </c>
    </row>
    <row r="31" spans="2:7" x14ac:dyDescent="0.25">
      <c r="B31" s="52" t="s">
        <v>123</v>
      </c>
      <c r="C31" s="35">
        <f>C32+C33+C34</f>
        <v>164722.37999999998</v>
      </c>
      <c r="D31" s="35">
        <f>D32+D33+D34</f>
        <v>142795.19</v>
      </c>
      <c r="E31" s="55">
        <f>E32+E33+E34</f>
        <v>142707.22</v>
      </c>
      <c r="F31" s="55">
        <f t="shared" si="0"/>
        <v>86.634991553667462</v>
      </c>
      <c r="G31" s="55">
        <f t="shared" si="1"/>
        <v>99.938394283448901</v>
      </c>
    </row>
    <row r="32" spans="2:7" x14ac:dyDescent="0.25">
      <c r="B32" s="16" t="s">
        <v>124</v>
      </c>
      <c r="C32" s="31">
        <v>20114.919999999998</v>
      </c>
      <c r="D32" s="31">
        <f>10000+398.17+132.72+663.61+331.81+398.17+1592.67</f>
        <v>13517.15</v>
      </c>
      <c r="E32" s="51">
        <v>2133.42</v>
      </c>
      <c r="F32" s="56">
        <f t="shared" si="0"/>
        <v>10.606157021753008</v>
      </c>
      <c r="G32" s="51">
        <f t="shared" si="1"/>
        <v>15.783060778344549</v>
      </c>
    </row>
    <row r="33" spans="2:10" x14ac:dyDescent="0.25">
      <c r="B33" s="16" t="s">
        <v>125</v>
      </c>
      <c r="C33" s="31">
        <v>2372.88</v>
      </c>
      <c r="D33" s="31">
        <f>1498.08+2712.58</f>
        <v>4210.66</v>
      </c>
      <c r="E33" s="51">
        <v>3211.66</v>
      </c>
      <c r="F33" s="56">
        <f t="shared" si="0"/>
        <v>135.34860591348908</v>
      </c>
      <c r="G33" s="51">
        <f t="shared" si="1"/>
        <v>76.274503284520705</v>
      </c>
    </row>
    <row r="34" spans="2:10" x14ac:dyDescent="0.25">
      <c r="B34" s="53" t="s">
        <v>126</v>
      </c>
      <c r="C34" s="31">
        <f>130046.84+12187.74</f>
        <v>142234.57999999999</v>
      </c>
      <c r="D34" s="31">
        <f>125067.38</f>
        <v>125067.38</v>
      </c>
      <c r="E34" s="51">
        <v>137362.14000000001</v>
      </c>
      <c r="F34" s="56">
        <f t="shared" si="0"/>
        <v>96.574363280715573</v>
      </c>
      <c r="G34" s="51">
        <f t="shared" si="1"/>
        <v>109.83050896244887</v>
      </c>
    </row>
    <row r="35" spans="2:10" x14ac:dyDescent="0.25">
      <c r="B35" s="54" t="s">
        <v>127</v>
      </c>
      <c r="C35" s="35">
        <f>C36+C37+C38</f>
        <v>892163.83000000007</v>
      </c>
      <c r="D35" s="35">
        <f>D36+D37</f>
        <v>949287.29999999993</v>
      </c>
      <c r="E35" s="55">
        <f>E36+E38</f>
        <v>1110987.75</v>
      </c>
      <c r="F35" s="55">
        <f t="shared" si="0"/>
        <v>124.52732476276245</v>
      </c>
      <c r="G35" s="55">
        <f t="shared" si="1"/>
        <v>117.03387899532629</v>
      </c>
    </row>
    <row r="36" spans="2:10" x14ac:dyDescent="0.25">
      <c r="B36" s="17" t="s">
        <v>128</v>
      </c>
      <c r="C36" s="31">
        <f>849872.09+3220.41+14742.27+5528.78</f>
        <v>873363.55</v>
      </c>
      <c r="D36" s="31">
        <f>780410.12+60000+516.03+50000+265.45+18581.19+35612.18+584.26</f>
        <v>945969.23</v>
      </c>
      <c r="E36" s="51">
        <v>1094706.69</v>
      </c>
      <c r="F36" s="56">
        <f t="shared" si="0"/>
        <v>125.34375747648272</v>
      </c>
      <c r="G36" s="51">
        <f t="shared" si="1"/>
        <v>115.72328732087828</v>
      </c>
    </row>
    <row r="37" spans="2:10" x14ac:dyDescent="0.25">
      <c r="B37" s="17" t="s">
        <v>129</v>
      </c>
      <c r="C37" s="31">
        <v>3757.41</v>
      </c>
      <c r="D37" s="31">
        <f>1327.23+1990.84</f>
        <v>3318.0699999999997</v>
      </c>
      <c r="E37" s="51"/>
      <c r="F37" s="56">
        <f t="shared" si="0"/>
        <v>0</v>
      </c>
      <c r="G37" s="51">
        <f t="shared" si="1"/>
        <v>0</v>
      </c>
    </row>
    <row r="38" spans="2:10" x14ac:dyDescent="0.25">
      <c r="B38" s="17" t="s">
        <v>130</v>
      </c>
      <c r="C38" s="31">
        <v>15042.87</v>
      </c>
      <c r="D38" s="31"/>
      <c r="E38" s="51">
        <v>16281.06</v>
      </c>
      <c r="F38" s="56">
        <f t="shared" si="0"/>
        <v>108.23107558597526</v>
      </c>
      <c r="G38" s="51"/>
    </row>
    <row r="39" spans="2:10" ht="25.5" x14ac:dyDescent="0.25">
      <c r="B39" s="2" t="s">
        <v>131</v>
      </c>
      <c r="C39" s="35">
        <f>C40</f>
        <v>28.05</v>
      </c>
      <c r="D39" s="31"/>
      <c r="E39" s="51"/>
      <c r="F39" s="56">
        <f t="shared" si="0"/>
        <v>0</v>
      </c>
      <c r="G39" s="51"/>
    </row>
    <row r="40" spans="2:10" ht="25.5" x14ac:dyDescent="0.25">
      <c r="B40" s="17" t="s">
        <v>132</v>
      </c>
      <c r="C40" s="31">
        <v>28.05</v>
      </c>
      <c r="D40" s="31"/>
      <c r="E40" s="51"/>
      <c r="F40" s="56">
        <f t="shared" si="0"/>
        <v>0</v>
      </c>
      <c r="G40" s="51"/>
    </row>
    <row r="41" spans="2:10" s="42" customFormat="1" x14ac:dyDescent="0.25"/>
    <row r="42" spans="2:10" s="42" customFormat="1" ht="15" customHeight="1" x14ac:dyDescent="0.25">
      <c r="B42" s="49"/>
      <c r="C42" s="49"/>
      <c r="D42" s="49"/>
      <c r="E42" s="49"/>
      <c r="F42" s="49"/>
      <c r="G42" s="49"/>
      <c r="H42" s="49"/>
      <c r="I42" s="49"/>
      <c r="J42" s="49"/>
    </row>
    <row r="43" spans="2:10" s="42" customFormat="1" x14ac:dyDescent="0.25">
      <c r="B43" s="49"/>
      <c r="C43" s="49"/>
      <c r="D43" s="49"/>
      <c r="E43" s="49"/>
      <c r="F43" s="49"/>
      <c r="G43" s="49"/>
      <c r="H43" s="49"/>
      <c r="I43" s="49"/>
      <c r="J43" s="49"/>
    </row>
    <row r="44" spans="2:10" s="42" customFormat="1" x14ac:dyDescent="0.25">
      <c r="B44" s="49"/>
      <c r="C44" s="49"/>
      <c r="D44" s="49"/>
      <c r="E44" s="49"/>
      <c r="F44" s="49"/>
      <c r="G44" s="49"/>
      <c r="H44" s="49"/>
      <c r="I44" s="49"/>
      <c r="J44" s="49"/>
    </row>
    <row r="45" spans="2:10" s="42" customFormat="1" x14ac:dyDescent="0.25"/>
    <row r="46" spans="2:10" s="42" customFormat="1" x14ac:dyDescent="0.25"/>
    <row r="47" spans="2:10" s="42" customFormat="1" x14ac:dyDescent="0.25"/>
    <row r="48" spans="2:10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</sheetData>
  <mergeCells count="1">
    <mergeCell ref="B2:G2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Normal="100" workbookViewId="0">
      <selection activeCell="C21" sqref="C21"/>
    </sheetView>
  </sheetViews>
  <sheetFormatPr defaultRowHeight="15" x14ac:dyDescent="0.25"/>
  <cols>
    <col min="1" max="1" width="9.140625" style="42"/>
    <col min="2" max="2" width="37.7109375" customWidth="1"/>
    <col min="3" max="5" width="25.28515625" customWidth="1"/>
    <col min="6" max="7" width="15.7109375" customWidth="1"/>
    <col min="8" max="20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9" t="s">
        <v>33</v>
      </c>
      <c r="C2" s="179"/>
      <c r="D2" s="179"/>
      <c r="E2" s="179"/>
      <c r="F2" s="179"/>
      <c r="G2" s="179"/>
    </row>
    <row r="3" spans="2:7" ht="18" x14ac:dyDescent="0.25">
      <c r="B3" s="28"/>
      <c r="C3" s="28"/>
      <c r="D3" s="28"/>
      <c r="E3" s="29"/>
      <c r="F3" s="29"/>
      <c r="G3" s="29"/>
    </row>
    <row r="4" spans="2:7" ht="25.5" x14ac:dyDescent="0.25">
      <c r="B4" s="23" t="s">
        <v>7</v>
      </c>
      <c r="C4" s="23" t="s">
        <v>53</v>
      </c>
      <c r="D4" s="23" t="s">
        <v>49</v>
      </c>
      <c r="E4" s="23" t="s">
        <v>54</v>
      </c>
      <c r="F4" s="23" t="s">
        <v>18</v>
      </c>
      <c r="G4" s="23" t="s">
        <v>37</v>
      </c>
    </row>
    <row r="5" spans="2:7" x14ac:dyDescent="0.25">
      <c r="B5" s="24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116</v>
      </c>
    </row>
    <row r="6" spans="2:7" ht="15.75" customHeight="1" x14ac:dyDescent="0.25">
      <c r="B6" s="2" t="s">
        <v>35</v>
      </c>
      <c r="C6" s="35">
        <f>C7</f>
        <v>1112957.9300000002</v>
      </c>
      <c r="D6" s="35">
        <f>D7</f>
        <v>1323106.3</v>
      </c>
      <c r="E6" s="37">
        <f>E7</f>
        <v>1323106.3</v>
      </c>
      <c r="F6" s="113">
        <f>E6/C6*100</f>
        <v>118.88196888089023</v>
      </c>
      <c r="G6" s="113">
        <f>E6/D6*100</f>
        <v>100</v>
      </c>
    </row>
    <row r="7" spans="2:7" ht="15.75" customHeight="1" x14ac:dyDescent="0.25">
      <c r="B7" s="2" t="s">
        <v>135</v>
      </c>
      <c r="C7" s="35">
        <f>C8+C9</f>
        <v>1112957.9300000002</v>
      </c>
      <c r="D7" s="35">
        <f>D8+D9</f>
        <v>1323106.3</v>
      </c>
      <c r="E7" s="37">
        <f>E8+E9</f>
        <v>1323106.3</v>
      </c>
      <c r="F7" s="113">
        <f>E7/C7*100</f>
        <v>118.88196888089023</v>
      </c>
      <c r="G7" s="113">
        <f t="shared" ref="G7:G9" si="0">E7/D7*100</f>
        <v>100</v>
      </c>
    </row>
    <row r="8" spans="2:7" x14ac:dyDescent="0.25">
      <c r="B8" s="8" t="s">
        <v>136</v>
      </c>
      <c r="C8" s="31">
        <v>1093976.31</v>
      </c>
      <c r="D8" s="31">
        <v>1180988.8600000001</v>
      </c>
      <c r="E8" s="36">
        <v>1180988.8600000001</v>
      </c>
      <c r="F8" s="59">
        <f>E8/C8*100</f>
        <v>107.95378740879681</v>
      </c>
      <c r="G8" s="59">
        <f t="shared" si="0"/>
        <v>100</v>
      </c>
    </row>
    <row r="9" spans="2:7" x14ac:dyDescent="0.25">
      <c r="B9" s="14" t="s">
        <v>137</v>
      </c>
      <c r="C9" s="31">
        <v>18981.62</v>
      </c>
      <c r="D9" s="31">
        <v>142117.44</v>
      </c>
      <c r="E9" s="36">
        <v>142117.44</v>
      </c>
      <c r="F9" s="59">
        <f>E9/C9*100</f>
        <v>748.71080550553643</v>
      </c>
      <c r="G9" s="59">
        <f t="shared" si="0"/>
        <v>100</v>
      </c>
    </row>
    <row r="10" spans="2:7" s="42" customFormat="1" x14ac:dyDescent="0.25"/>
    <row r="11" spans="2:7" s="42" customFormat="1" x14ac:dyDescent="0.25">
      <c r="B11" s="49"/>
      <c r="C11" s="49"/>
      <c r="D11" s="49"/>
      <c r="E11" s="49"/>
      <c r="F11" s="49"/>
      <c r="G11" s="49"/>
    </row>
    <row r="12" spans="2:7" s="42" customFormat="1" x14ac:dyDescent="0.25">
      <c r="B12" s="49"/>
      <c r="C12" s="49"/>
      <c r="D12" s="49"/>
      <c r="E12" s="49"/>
      <c r="F12" s="49"/>
      <c r="G12" s="49"/>
    </row>
    <row r="13" spans="2:7" s="42" customFormat="1" x14ac:dyDescent="0.25">
      <c r="B13" s="49"/>
      <c r="C13" s="49"/>
      <c r="D13" s="49"/>
      <c r="E13" s="49"/>
      <c r="F13" s="49"/>
      <c r="G13" s="49"/>
    </row>
    <row r="14" spans="2:7" s="42" customFormat="1" x14ac:dyDescent="0.25"/>
    <row r="15" spans="2:7" s="42" customFormat="1" x14ac:dyDescent="0.25"/>
    <row r="16" spans="2:7" s="42" customFormat="1" x14ac:dyDescent="0.25"/>
    <row r="17" s="42" customFormat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  <row r="81" s="42" customFormat="1" x14ac:dyDescent="0.25"/>
    <row r="82" s="42" customFormat="1" x14ac:dyDescent="0.25"/>
    <row r="83" s="42" customFormat="1" x14ac:dyDescent="0.25"/>
    <row r="84" s="42" customFormat="1" x14ac:dyDescent="0.25"/>
    <row r="85" s="42" customFormat="1" x14ac:dyDescent="0.25"/>
    <row r="86" s="42" customFormat="1" x14ac:dyDescent="0.25"/>
    <row r="87" s="42" customFormat="1" x14ac:dyDescent="0.25"/>
    <row r="88" s="42" customFormat="1" x14ac:dyDescent="0.25"/>
    <row r="89" s="42" customFormat="1" x14ac:dyDescent="0.25"/>
    <row r="90" s="42" customFormat="1" x14ac:dyDescent="0.25"/>
    <row r="91" s="42" customFormat="1" x14ac:dyDescent="0.25"/>
    <row r="92" s="42" customFormat="1" x14ac:dyDescent="0.25"/>
    <row r="93" s="42" customFormat="1" x14ac:dyDescent="0.25"/>
    <row r="94" s="42" customFormat="1" x14ac:dyDescent="0.25"/>
    <row r="95" s="42" customFormat="1" x14ac:dyDescent="0.25"/>
    <row r="9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5"/>
  <sheetViews>
    <sheetView topLeftCell="A16" zoomScaleNormal="100" workbookViewId="0">
      <selection activeCell="B43" sqref="B43"/>
    </sheetView>
  </sheetViews>
  <sheetFormatPr defaultRowHeight="15" x14ac:dyDescent="0.25"/>
  <cols>
    <col min="1" max="1" width="12.7109375" customWidth="1"/>
    <col min="2" max="2" width="47.5703125" customWidth="1"/>
    <col min="3" max="4" width="17.28515625" bestFit="1" customWidth="1"/>
    <col min="5" max="5" width="13.5703125" style="68" customWidth="1"/>
    <col min="6" max="35" width="9.140625" style="42"/>
  </cols>
  <sheetData>
    <row r="1" spans="1:5" ht="15.75" customHeight="1" x14ac:dyDescent="0.25">
      <c r="A1" s="179" t="s">
        <v>8</v>
      </c>
      <c r="B1" s="179"/>
      <c r="C1" s="179"/>
      <c r="D1" s="179"/>
      <c r="E1" s="179"/>
    </row>
    <row r="2" spans="1:5" ht="18" x14ac:dyDescent="0.25">
      <c r="A2" s="57"/>
      <c r="B2" s="57"/>
      <c r="C2" s="57"/>
      <c r="D2" s="57"/>
      <c r="E2" s="29"/>
    </row>
    <row r="3" spans="1:5" ht="15.75" x14ac:dyDescent="0.25">
      <c r="A3" s="196" t="s">
        <v>39</v>
      </c>
      <c r="B3" s="196"/>
      <c r="C3" s="196"/>
      <c r="D3" s="196"/>
      <c r="E3" s="196"/>
    </row>
    <row r="4" spans="1:5" ht="17.25" customHeight="1" x14ac:dyDescent="0.25">
      <c r="A4" s="58"/>
      <c r="B4" s="58"/>
      <c r="C4" s="58"/>
      <c r="D4" s="58"/>
      <c r="E4" s="58"/>
    </row>
    <row r="5" spans="1:5" ht="19.5" x14ac:dyDescent="0.25">
      <c r="A5" s="78">
        <v>2202</v>
      </c>
      <c r="B5" s="79" t="s">
        <v>191</v>
      </c>
      <c r="C5" s="80">
        <f>C28+C36+C46+C58</f>
        <v>905477.50000000012</v>
      </c>
      <c r="D5" s="80">
        <f>D28+D36+D46+D58</f>
        <v>1157034.18</v>
      </c>
      <c r="E5" s="80">
        <f>D5/C5*100</f>
        <v>127.78165995289777</v>
      </c>
    </row>
    <row r="6" spans="1:5" ht="19.5" x14ac:dyDescent="0.25">
      <c r="A6" s="60" t="s">
        <v>138</v>
      </c>
      <c r="B6" s="61" t="s">
        <v>139</v>
      </c>
      <c r="C6" s="62"/>
      <c r="D6" s="62"/>
      <c r="E6" s="62"/>
    </row>
    <row r="7" spans="1:5" s="42" customFormat="1" ht="20.25" x14ac:dyDescent="0.25">
      <c r="A7" s="193" t="s">
        <v>140</v>
      </c>
      <c r="B7" s="193"/>
      <c r="C7" s="97"/>
      <c r="D7" s="97"/>
      <c r="E7" s="98"/>
    </row>
    <row r="8" spans="1:5" ht="42.75" x14ac:dyDescent="0.25">
      <c r="A8" s="124" t="s">
        <v>141</v>
      </c>
      <c r="B8" s="125" t="s">
        <v>142</v>
      </c>
      <c r="C8" s="1" t="s">
        <v>49</v>
      </c>
      <c r="D8" s="1" t="s">
        <v>54</v>
      </c>
      <c r="E8" s="63" t="s">
        <v>143</v>
      </c>
    </row>
    <row r="9" spans="1:5" x14ac:dyDescent="0.25">
      <c r="A9" s="64"/>
      <c r="B9" s="65"/>
      <c r="C9" s="66">
        <v>2</v>
      </c>
      <c r="D9" s="66">
        <v>3</v>
      </c>
      <c r="E9" s="67">
        <v>4</v>
      </c>
    </row>
    <row r="10" spans="1:5" x14ac:dyDescent="0.25">
      <c r="A10" s="114">
        <v>32111</v>
      </c>
      <c r="B10" s="115" t="s">
        <v>29</v>
      </c>
      <c r="C10" s="116">
        <v>1189.1500000000001</v>
      </c>
      <c r="D10" s="116">
        <v>1394.2</v>
      </c>
      <c r="E10" s="117">
        <f>D10/C10*100</f>
        <v>117.24340915780178</v>
      </c>
    </row>
    <row r="11" spans="1:5" x14ac:dyDescent="0.25">
      <c r="A11" s="118">
        <v>32211</v>
      </c>
      <c r="B11" s="87" t="s">
        <v>144</v>
      </c>
      <c r="C11" s="119">
        <v>2500</v>
      </c>
      <c r="D11" s="119">
        <v>2481.0500000000002</v>
      </c>
      <c r="E11" s="117">
        <f t="shared" ref="E11:E28" si="0">D11/C11*100</f>
        <v>99.242000000000004</v>
      </c>
    </row>
    <row r="12" spans="1:5" x14ac:dyDescent="0.25">
      <c r="A12" s="118">
        <v>32221</v>
      </c>
      <c r="B12" s="87" t="s">
        <v>78</v>
      </c>
      <c r="C12" s="119">
        <v>1582.85</v>
      </c>
      <c r="D12" s="119">
        <v>1582.85</v>
      </c>
      <c r="E12" s="117">
        <f t="shared" si="0"/>
        <v>100</v>
      </c>
    </row>
    <row r="13" spans="1:5" x14ac:dyDescent="0.25">
      <c r="A13" s="118">
        <v>32231</v>
      </c>
      <c r="B13" s="87" t="s">
        <v>145</v>
      </c>
      <c r="C13" s="119">
        <v>5000</v>
      </c>
      <c r="D13" s="119">
        <v>5000</v>
      </c>
      <c r="E13" s="117">
        <f t="shared" si="0"/>
        <v>100</v>
      </c>
    </row>
    <row r="14" spans="1:5" x14ac:dyDescent="0.25">
      <c r="A14" s="118">
        <v>32234</v>
      </c>
      <c r="B14" s="87" t="s">
        <v>192</v>
      </c>
      <c r="C14" s="119">
        <v>20631</v>
      </c>
      <c r="D14" s="119">
        <v>20583.04</v>
      </c>
      <c r="E14" s="117">
        <f t="shared" si="0"/>
        <v>99.767534293054155</v>
      </c>
    </row>
    <row r="15" spans="1:5" x14ac:dyDescent="0.25">
      <c r="A15" s="118">
        <v>32241</v>
      </c>
      <c r="B15" s="87" t="s">
        <v>146</v>
      </c>
      <c r="C15" s="119">
        <v>1420</v>
      </c>
      <c r="D15" s="119">
        <v>1224.1199999999999</v>
      </c>
      <c r="E15" s="117">
        <f t="shared" si="0"/>
        <v>86.205633802816891</v>
      </c>
    </row>
    <row r="16" spans="1:5" x14ac:dyDescent="0.25">
      <c r="A16" s="118">
        <v>32251</v>
      </c>
      <c r="B16" s="87" t="s">
        <v>147</v>
      </c>
      <c r="C16" s="119">
        <v>327.08</v>
      </c>
      <c r="D16" s="119">
        <v>327.08</v>
      </c>
      <c r="E16" s="117">
        <f t="shared" si="0"/>
        <v>100</v>
      </c>
    </row>
    <row r="17" spans="1:5" x14ac:dyDescent="0.25">
      <c r="A17" s="118">
        <v>32311</v>
      </c>
      <c r="B17" s="87" t="s">
        <v>84</v>
      </c>
      <c r="C17" s="119">
        <v>1800</v>
      </c>
      <c r="D17" s="119">
        <v>1800</v>
      </c>
      <c r="E17" s="117">
        <f t="shared" si="0"/>
        <v>100</v>
      </c>
    </row>
    <row r="18" spans="1:5" x14ac:dyDescent="0.25">
      <c r="A18" s="118">
        <v>32321</v>
      </c>
      <c r="B18" s="87" t="s">
        <v>148</v>
      </c>
      <c r="C18" s="119">
        <v>4000</v>
      </c>
      <c r="D18" s="119">
        <v>4000</v>
      </c>
      <c r="E18" s="117">
        <f t="shared" si="0"/>
        <v>100</v>
      </c>
    </row>
    <row r="19" spans="1:5" x14ac:dyDescent="0.25">
      <c r="A19" s="118">
        <v>32341</v>
      </c>
      <c r="B19" s="87" t="s">
        <v>86</v>
      </c>
      <c r="C19" s="119">
        <v>5000</v>
      </c>
      <c r="D19" s="119">
        <v>5070.33</v>
      </c>
      <c r="E19" s="117">
        <f t="shared" si="0"/>
        <v>101.4066</v>
      </c>
    </row>
    <row r="20" spans="1:5" x14ac:dyDescent="0.25">
      <c r="A20" s="118">
        <v>32353</v>
      </c>
      <c r="B20" s="87" t="s">
        <v>149</v>
      </c>
      <c r="C20" s="119">
        <v>76558.59</v>
      </c>
      <c r="D20" s="119">
        <v>96046.55</v>
      </c>
      <c r="E20" s="117">
        <f t="shared" si="0"/>
        <v>125.45496201014153</v>
      </c>
    </row>
    <row r="21" spans="1:5" x14ac:dyDescent="0.25">
      <c r="A21" s="118">
        <v>32361</v>
      </c>
      <c r="B21" s="87" t="s">
        <v>88</v>
      </c>
      <c r="C21" s="119">
        <v>791.57</v>
      </c>
      <c r="D21" s="119">
        <v>0</v>
      </c>
      <c r="E21" s="117">
        <f t="shared" si="0"/>
        <v>0</v>
      </c>
    </row>
    <row r="22" spans="1:5" x14ac:dyDescent="0.25">
      <c r="A22" s="118">
        <v>32389</v>
      </c>
      <c r="B22" s="87" t="s">
        <v>90</v>
      </c>
      <c r="C22" s="119">
        <v>2800</v>
      </c>
      <c r="D22" s="119">
        <v>2800</v>
      </c>
      <c r="E22" s="117">
        <f t="shared" si="0"/>
        <v>100</v>
      </c>
    </row>
    <row r="23" spans="1:5" x14ac:dyDescent="0.25">
      <c r="A23" s="118">
        <v>32399</v>
      </c>
      <c r="B23" s="87" t="s">
        <v>91</v>
      </c>
      <c r="C23" s="119">
        <v>497.5</v>
      </c>
      <c r="D23" s="119">
        <v>497.5</v>
      </c>
      <c r="E23" s="117">
        <f t="shared" si="0"/>
        <v>100</v>
      </c>
    </row>
    <row r="24" spans="1:5" x14ac:dyDescent="0.25">
      <c r="A24" s="118">
        <v>32922</v>
      </c>
      <c r="B24" s="87" t="s">
        <v>93</v>
      </c>
      <c r="C24" s="119">
        <v>517.62</v>
      </c>
      <c r="D24" s="119">
        <v>115.18</v>
      </c>
      <c r="E24" s="117">
        <f t="shared" si="0"/>
        <v>22.25184498280592</v>
      </c>
    </row>
    <row r="25" spans="1:5" x14ac:dyDescent="0.25">
      <c r="A25" s="118">
        <v>32941</v>
      </c>
      <c r="B25" s="87" t="s">
        <v>150</v>
      </c>
      <c r="C25" s="119">
        <v>163.09</v>
      </c>
      <c r="D25" s="119">
        <v>163.09</v>
      </c>
      <c r="E25" s="117">
        <f t="shared" si="0"/>
        <v>100</v>
      </c>
    </row>
    <row r="26" spans="1:5" x14ac:dyDescent="0.25">
      <c r="A26" s="118">
        <v>32999</v>
      </c>
      <c r="B26" s="87" t="s">
        <v>92</v>
      </c>
      <c r="C26" s="119">
        <v>208.93</v>
      </c>
      <c r="D26" s="119">
        <v>205.33</v>
      </c>
      <c r="E26" s="117">
        <f t="shared" si="0"/>
        <v>98.27693485856507</v>
      </c>
    </row>
    <row r="27" spans="1:5" x14ac:dyDescent="0.25">
      <c r="A27" s="118">
        <v>34312</v>
      </c>
      <c r="B27" s="87" t="s">
        <v>98</v>
      </c>
      <c r="C27" s="119">
        <v>80</v>
      </c>
      <c r="D27" s="119">
        <v>80</v>
      </c>
      <c r="E27" s="117">
        <f t="shared" si="0"/>
        <v>100</v>
      </c>
    </row>
    <row r="28" spans="1:5" x14ac:dyDescent="0.25">
      <c r="A28" s="120" t="s">
        <v>151</v>
      </c>
      <c r="B28" s="121"/>
      <c r="C28" s="122">
        <f>SUM(C10:C27)</f>
        <v>125067.37999999999</v>
      </c>
      <c r="D28" s="122">
        <f>SUM(D10:D27)</f>
        <v>143370.31999999998</v>
      </c>
      <c r="E28" s="123">
        <f t="shared" si="0"/>
        <v>114.63446343882792</v>
      </c>
    </row>
    <row r="29" spans="1:5" s="42" customFormat="1" x14ac:dyDescent="0.25">
      <c r="A29" s="88"/>
      <c r="B29" s="89"/>
      <c r="C29" s="90"/>
      <c r="D29" s="90"/>
      <c r="E29" s="91"/>
    </row>
    <row r="30" spans="1:5" s="42" customFormat="1" x14ac:dyDescent="0.25">
      <c r="A30" s="88"/>
      <c r="B30" s="89"/>
      <c r="C30" s="90"/>
      <c r="D30" s="90"/>
      <c r="E30" s="91"/>
    </row>
    <row r="31" spans="1:5" ht="19.5" x14ac:dyDescent="0.35">
      <c r="A31" s="69" t="s">
        <v>152</v>
      </c>
      <c r="B31" s="70" t="s">
        <v>153</v>
      </c>
      <c r="C31" s="81"/>
      <c r="D31" s="82"/>
      <c r="E31" s="83"/>
    </row>
    <row r="32" spans="1:5" s="42" customFormat="1" ht="15.75" x14ac:dyDescent="0.25">
      <c r="A32" s="103" t="s">
        <v>154</v>
      </c>
      <c r="B32" s="104"/>
      <c r="C32" s="96"/>
      <c r="D32" s="96"/>
      <c r="E32" s="91"/>
    </row>
    <row r="33" spans="1:5" ht="42.75" x14ac:dyDescent="0.25">
      <c r="A33" s="124" t="s">
        <v>141</v>
      </c>
      <c r="B33" s="125" t="s">
        <v>142</v>
      </c>
      <c r="C33" s="1" t="s">
        <v>49</v>
      </c>
      <c r="D33" s="1" t="s">
        <v>54</v>
      </c>
      <c r="E33" s="126" t="s">
        <v>143</v>
      </c>
    </row>
    <row r="34" spans="1:5" x14ac:dyDescent="0.25">
      <c r="A34" s="127"/>
      <c r="B34" s="128"/>
      <c r="C34" s="129">
        <v>2</v>
      </c>
      <c r="D34" s="129">
        <v>3</v>
      </c>
      <c r="E34" s="130">
        <v>5</v>
      </c>
    </row>
    <row r="35" spans="1:5" x14ac:dyDescent="0.25">
      <c r="A35" s="118">
        <v>42411</v>
      </c>
      <c r="B35" s="131" t="s">
        <v>108</v>
      </c>
      <c r="C35" s="119">
        <v>0</v>
      </c>
      <c r="D35" s="119">
        <v>2454.73</v>
      </c>
      <c r="E35" s="132" t="e">
        <f>D35/C35*100</f>
        <v>#DIV/0!</v>
      </c>
    </row>
    <row r="36" spans="1:5" x14ac:dyDescent="0.25">
      <c r="A36" s="120" t="s">
        <v>151</v>
      </c>
      <c r="B36" s="133"/>
      <c r="C36" s="122">
        <v>0</v>
      </c>
      <c r="D36" s="122">
        <f>D35</f>
        <v>2454.73</v>
      </c>
      <c r="E36" s="134" t="e">
        <f>D36/C36*100</f>
        <v>#DIV/0!</v>
      </c>
    </row>
    <row r="37" spans="1:5" s="42" customFormat="1" x14ac:dyDescent="0.25">
      <c r="A37" s="135"/>
      <c r="B37" s="136"/>
      <c r="C37" s="137"/>
      <c r="D37" s="137"/>
      <c r="E37" s="138"/>
    </row>
    <row r="38" spans="1:5" s="42" customFormat="1" x14ac:dyDescent="0.25">
      <c r="A38" s="43"/>
      <c r="C38" s="96"/>
      <c r="D38" s="96"/>
      <c r="E38" s="91"/>
    </row>
    <row r="39" spans="1:5" ht="19.5" x14ac:dyDescent="0.35">
      <c r="A39" s="69" t="s">
        <v>156</v>
      </c>
      <c r="B39" s="70" t="s">
        <v>157</v>
      </c>
      <c r="C39" s="84"/>
      <c r="D39" s="82"/>
      <c r="E39" s="83"/>
    </row>
    <row r="40" spans="1:5" ht="15.75" x14ac:dyDescent="0.25">
      <c r="A40" s="72" t="s">
        <v>154</v>
      </c>
      <c r="B40" s="73"/>
      <c r="C40" s="71"/>
      <c r="D40" s="71"/>
    </row>
    <row r="41" spans="1:5" ht="42.75" x14ac:dyDescent="0.25">
      <c r="A41" s="124" t="s">
        <v>141</v>
      </c>
      <c r="B41" s="125" t="s">
        <v>142</v>
      </c>
      <c r="C41" s="1" t="s">
        <v>49</v>
      </c>
      <c r="D41" s="1" t="s">
        <v>54</v>
      </c>
      <c r="E41" s="126" t="s">
        <v>143</v>
      </c>
    </row>
    <row r="42" spans="1:5" x14ac:dyDescent="0.25">
      <c r="A42" s="127"/>
      <c r="B42" s="128"/>
      <c r="C42" s="129">
        <v>2</v>
      </c>
      <c r="D42" s="129">
        <v>3</v>
      </c>
      <c r="E42" s="130">
        <v>5</v>
      </c>
    </row>
    <row r="43" spans="1:5" x14ac:dyDescent="0.25">
      <c r="A43" s="139">
        <v>32241</v>
      </c>
      <c r="B43" s="87" t="s">
        <v>146</v>
      </c>
      <c r="C43" s="140">
        <v>0</v>
      </c>
      <c r="D43" s="140">
        <v>799</v>
      </c>
      <c r="E43" s="141" t="e">
        <f>D43/C43*100</f>
        <v>#DIV/0!</v>
      </c>
    </row>
    <row r="44" spans="1:5" x14ac:dyDescent="0.25">
      <c r="A44" s="139">
        <v>32321</v>
      </c>
      <c r="B44" s="115" t="s">
        <v>85</v>
      </c>
      <c r="C44" s="140">
        <v>0</v>
      </c>
      <c r="D44" s="140">
        <v>7573.47</v>
      </c>
      <c r="E44" s="141" t="e">
        <f t="shared" ref="E44:E46" si="1">D44/C44*100</f>
        <v>#DIV/0!</v>
      </c>
    </row>
    <row r="45" spans="1:5" x14ac:dyDescent="0.25">
      <c r="A45" s="118">
        <v>42212</v>
      </c>
      <c r="B45" s="131" t="s">
        <v>102</v>
      </c>
      <c r="C45" s="119">
        <v>0</v>
      </c>
      <c r="D45" s="119">
        <v>1289</v>
      </c>
      <c r="E45" s="141" t="e">
        <f t="shared" si="1"/>
        <v>#DIV/0!</v>
      </c>
    </row>
    <row r="46" spans="1:5" x14ac:dyDescent="0.25">
      <c r="A46" s="120" t="s">
        <v>151</v>
      </c>
      <c r="B46" s="133"/>
      <c r="C46" s="122">
        <f>0</f>
        <v>0</v>
      </c>
      <c r="D46" s="122">
        <f>D43+D44+D45</f>
        <v>9661.4700000000012</v>
      </c>
      <c r="E46" s="126" t="e">
        <f t="shared" si="1"/>
        <v>#DIV/0!</v>
      </c>
    </row>
    <row r="47" spans="1:5" s="42" customFormat="1" x14ac:dyDescent="0.25">
      <c r="A47" s="92"/>
      <c r="B47" s="93"/>
      <c r="C47" s="94"/>
      <c r="D47" s="94"/>
      <c r="E47" s="95"/>
    </row>
    <row r="48" spans="1:5" s="42" customFormat="1" x14ac:dyDescent="0.25">
      <c r="A48" s="43"/>
      <c r="C48" s="96"/>
      <c r="D48" s="96"/>
      <c r="E48" s="91"/>
    </row>
    <row r="49" spans="1:5" ht="19.5" x14ac:dyDescent="0.35">
      <c r="A49" s="69" t="s">
        <v>158</v>
      </c>
      <c r="B49" s="70" t="s">
        <v>159</v>
      </c>
      <c r="C49" s="82"/>
      <c r="D49" s="82"/>
      <c r="E49" s="83"/>
    </row>
    <row r="50" spans="1:5" s="42" customFormat="1" ht="15.75" x14ac:dyDescent="0.25">
      <c r="A50" s="103" t="s">
        <v>160</v>
      </c>
      <c r="B50" s="104"/>
      <c r="C50" s="96"/>
      <c r="D50" s="96"/>
      <c r="E50" s="91"/>
    </row>
    <row r="51" spans="1:5" ht="42.75" x14ac:dyDescent="0.25">
      <c r="A51" s="124" t="s">
        <v>141</v>
      </c>
      <c r="B51" s="125" t="s">
        <v>142</v>
      </c>
      <c r="C51" s="1" t="s">
        <v>49</v>
      </c>
      <c r="D51" s="1" t="s">
        <v>54</v>
      </c>
      <c r="E51" s="126" t="s">
        <v>143</v>
      </c>
    </row>
    <row r="52" spans="1:5" x14ac:dyDescent="0.25">
      <c r="A52" s="127"/>
      <c r="B52" s="128"/>
      <c r="C52" s="129">
        <v>2</v>
      </c>
      <c r="D52" s="129">
        <v>3</v>
      </c>
      <c r="E52" s="130">
        <v>5</v>
      </c>
    </row>
    <row r="53" spans="1:5" x14ac:dyDescent="0.25">
      <c r="A53" s="142">
        <v>311</v>
      </c>
      <c r="B53" s="143" t="s">
        <v>161</v>
      </c>
      <c r="C53" s="144">
        <v>610524.92000000004</v>
      </c>
      <c r="D53" s="144">
        <v>788050.76</v>
      </c>
      <c r="E53" s="132">
        <f>D53/C53*100</f>
        <v>129.07757475321401</v>
      </c>
    </row>
    <row r="54" spans="1:5" x14ac:dyDescent="0.25">
      <c r="A54" s="142">
        <v>312</v>
      </c>
      <c r="B54" s="143" t="s">
        <v>71</v>
      </c>
      <c r="C54" s="144">
        <v>26544.560000000001</v>
      </c>
      <c r="D54" s="144">
        <v>41263.5</v>
      </c>
      <c r="E54" s="132">
        <f t="shared" ref="E54:E58" si="2">D54/C54*100</f>
        <v>155.44993023052558</v>
      </c>
    </row>
    <row r="55" spans="1:5" x14ac:dyDescent="0.25">
      <c r="A55" s="142">
        <v>313</v>
      </c>
      <c r="B55" s="143" t="s">
        <v>117</v>
      </c>
      <c r="C55" s="144">
        <v>106178.25</v>
      </c>
      <c r="D55" s="144">
        <v>130027.3</v>
      </c>
      <c r="E55" s="132">
        <f t="shared" si="2"/>
        <v>122.46133271173711</v>
      </c>
    </row>
    <row r="56" spans="1:5" x14ac:dyDescent="0.25">
      <c r="A56" s="142">
        <v>321</v>
      </c>
      <c r="B56" s="143" t="s">
        <v>162</v>
      </c>
      <c r="C56" s="144">
        <v>35835.160000000003</v>
      </c>
      <c r="D56" s="144">
        <v>38877.24</v>
      </c>
      <c r="E56" s="132">
        <f t="shared" si="2"/>
        <v>108.48909283508151</v>
      </c>
    </row>
    <row r="57" spans="1:5" x14ac:dyDescent="0.25">
      <c r="A57" s="142">
        <v>3295</v>
      </c>
      <c r="B57" s="143" t="s">
        <v>163</v>
      </c>
      <c r="C57" s="144">
        <v>1327.23</v>
      </c>
      <c r="D57" s="144">
        <v>3328.86</v>
      </c>
      <c r="E57" s="132">
        <f t="shared" si="2"/>
        <v>250.81259465201961</v>
      </c>
    </row>
    <row r="58" spans="1:5" x14ac:dyDescent="0.25">
      <c r="A58" s="120" t="s">
        <v>151</v>
      </c>
      <c r="B58" s="133"/>
      <c r="C58" s="122">
        <f>SUM(C53:C57)</f>
        <v>780410.12000000011</v>
      </c>
      <c r="D58" s="122">
        <f>SUM(D53:D57)</f>
        <v>1001547.66</v>
      </c>
      <c r="E58" s="134">
        <f t="shared" si="2"/>
        <v>128.33606770757916</v>
      </c>
    </row>
    <row r="59" spans="1:5" x14ac:dyDescent="0.25">
      <c r="A59" s="74"/>
      <c r="B59" s="75"/>
      <c r="C59" s="76"/>
      <c r="D59" s="76"/>
      <c r="E59" s="77"/>
    </row>
    <row r="60" spans="1:5" ht="19.5" x14ac:dyDescent="0.35">
      <c r="A60" s="85">
        <v>2203</v>
      </c>
      <c r="B60" s="79" t="s">
        <v>193</v>
      </c>
      <c r="C60" s="86">
        <f>C67+C75+C88+C94+C109+C116+C124+C137+C144+C152+C159+C166</f>
        <v>200604.99</v>
      </c>
      <c r="D60" s="86">
        <f>D67+D75+D88+D94+D109+D116+D124+D137+D144+D152+D159+D166</f>
        <v>111250.91</v>
      </c>
      <c r="E60" s="86">
        <f>D60/C60*100</f>
        <v>55.45769823572185</v>
      </c>
    </row>
    <row r="61" spans="1:5" s="42" customFormat="1" x14ac:dyDescent="0.25">
      <c r="A61" s="43"/>
      <c r="C61" s="96"/>
      <c r="D61" s="96"/>
      <c r="E61" s="91"/>
    </row>
    <row r="62" spans="1:5" ht="19.5" x14ac:dyDescent="0.35">
      <c r="A62" s="69" t="s">
        <v>164</v>
      </c>
      <c r="B62" s="70" t="s">
        <v>165</v>
      </c>
      <c r="C62" s="84">
        <f>C67</f>
        <v>0</v>
      </c>
      <c r="D62" s="82">
        <f>D67</f>
        <v>1551.11</v>
      </c>
      <c r="E62" s="83" t="e">
        <f>D62/C62*100</f>
        <v>#DIV/0!</v>
      </c>
    </row>
    <row r="63" spans="1:5" s="42" customFormat="1" ht="15.75" x14ac:dyDescent="0.25">
      <c r="A63" s="103" t="s">
        <v>166</v>
      </c>
      <c r="B63" s="104"/>
      <c r="C63" s="96"/>
      <c r="D63" s="96"/>
      <c r="E63" s="91"/>
    </row>
    <row r="64" spans="1:5" ht="42.75" x14ac:dyDescent="0.25">
      <c r="A64" s="124" t="s">
        <v>141</v>
      </c>
      <c r="B64" s="125" t="s">
        <v>142</v>
      </c>
      <c r="C64" s="1" t="s">
        <v>49</v>
      </c>
      <c r="D64" s="1" t="s">
        <v>54</v>
      </c>
      <c r="E64" s="126" t="s">
        <v>143</v>
      </c>
    </row>
    <row r="65" spans="1:5" x14ac:dyDescent="0.25">
      <c r="A65" s="127"/>
      <c r="B65" s="128"/>
      <c r="C65" s="129">
        <v>2</v>
      </c>
      <c r="D65" s="129">
        <v>3</v>
      </c>
      <c r="E65" s="130">
        <v>5</v>
      </c>
    </row>
    <row r="66" spans="1:5" x14ac:dyDescent="0.25">
      <c r="A66" s="118">
        <v>32999</v>
      </c>
      <c r="B66" s="131" t="s">
        <v>167</v>
      </c>
      <c r="C66" s="119">
        <v>0</v>
      </c>
      <c r="D66" s="119">
        <v>1551.11</v>
      </c>
      <c r="E66" s="132" t="e">
        <f>D66/C66*100</f>
        <v>#DIV/0!</v>
      </c>
    </row>
    <row r="67" spans="1:5" x14ac:dyDescent="0.25">
      <c r="A67" s="120" t="s">
        <v>151</v>
      </c>
      <c r="B67" s="133"/>
      <c r="C67" s="122">
        <f>C66</f>
        <v>0</v>
      </c>
      <c r="D67" s="122">
        <f>D66</f>
        <v>1551.11</v>
      </c>
      <c r="E67" s="134" t="e">
        <f>D67/C67*100</f>
        <v>#DIV/0!</v>
      </c>
    </row>
    <row r="68" spans="1:5" s="42" customFormat="1" x14ac:dyDescent="0.25">
      <c r="A68" s="92"/>
      <c r="B68" s="93"/>
      <c r="C68" s="94"/>
      <c r="D68" s="94"/>
      <c r="E68" s="95"/>
    </row>
    <row r="69" spans="1:5" s="42" customFormat="1" x14ac:dyDescent="0.25">
      <c r="A69" s="92"/>
      <c r="B69" s="93"/>
      <c r="C69" s="94"/>
      <c r="D69" s="94"/>
      <c r="E69" s="95"/>
    </row>
    <row r="70" spans="1:5" ht="19.5" x14ac:dyDescent="0.35">
      <c r="A70" s="69" t="s">
        <v>168</v>
      </c>
      <c r="B70" s="70" t="s">
        <v>169</v>
      </c>
      <c r="C70" s="84">
        <f>C75</f>
        <v>0</v>
      </c>
      <c r="D70" s="82">
        <f>D75</f>
        <v>9010</v>
      </c>
      <c r="E70" s="83" t="e">
        <f>D70/C70*100</f>
        <v>#DIV/0!</v>
      </c>
    </row>
    <row r="71" spans="1:5" s="42" customFormat="1" ht="15.75" x14ac:dyDescent="0.25">
      <c r="A71" s="103" t="s">
        <v>166</v>
      </c>
      <c r="B71" s="104"/>
      <c r="C71" s="96"/>
      <c r="D71" s="96"/>
      <c r="E71" s="91"/>
    </row>
    <row r="72" spans="1:5" ht="42.75" x14ac:dyDescent="0.25">
      <c r="A72" s="124" t="s">
        <v>141</v>
      </c>
      <c r="B72" s="125" t="s">
        <v>142</v>
      </c>
      <c r="C72" s="1" t="s">
        <v>49</v>
      </c>
      <c r="D72" s="1" t="s">
        <v>54</v>
      </c>
      <c r="E72" s="126" t="s">
        <v>143</v>
      </c>
    </row>
    <row r="73" spans="1:5" x14ac:dyDescent="0.25">
      <c r="A73" s="127"/>
      <c r="B73" s="128"/>
      <c r="C73" s="129">
        <v>2</v>
      </c>
      <c r="D73" s="129">
        <v>3</v>
      </c>
      <c r="E73" s="130">
        <v>5</v>
      </c>
    </row>
    <row r="74" spans="1:5" x14ac:dyDescent="0.25">
      <c r="A74" s="139">
        <v>42641</v>
      </c>
      <c r="B74" s="115" t="s">
        <v>211</v>
      </c>
      <c r="C74" s="140">
        <v>0</v>
      </c>
      <c r="D74" s="140">
        <v>9010</v>
      </c>
      <c r="E74" s="132" t="e">
        <f>D74/C74*100</f>
        <v>#DIV/0!</v>
      </c>
    </row>
    <row r="75" spans="1:5" x14ac:dyDescent="0.25">
      <c r="A75" s="120" t="s">
        <v>151</v>
      </c>
      <c r="B75" s="133"/>
      <c r="C75" s="122">
        <f>C74</f>
        <v>0</v>
      </c>
      <c r="D75" s="122">
        <f>D74</f>
        <v>9010</v>
      </c>
      <c r="E75" s="134" t="e">
        <f>D75/C75*100</f>
        <v>#DIV/0!</v>
      </c>
    </row>
    <row r="76" spans="1:5" s="42" customFormat="1" x14ac:dyDescent="0.25">
      <c r="A76" s="92"/>
      <c r="B76" s="93"/>
      <c r="C76" s="94"/>
      <c r="D76" s="94"/>
      <c r="E76" s="95"/>
    </row>
    <row r="77" spans="1:5" s="42" customFormat="1" x14ac:dyDescent="0.25">
      <c r="A77" s="92"/>
      <c r="B77" s="93"/>
      <c r="C77" s="94"/>
      <c r="D77" s="94"/>
      <c r="E77" s="95"/>
    </row>
    <row r="78" spans="1:5" ht="19.5" x14ac:dyDescent="0.35">
      <c r="A78" s="69" t="s">
        <v>170</v>
      </c>
      <c r="B78" s="70" t="s">
        <v>171</v>
      </c>
      <c r="C78" s="82">
        <f>C88+C94+C109+C116</f>
        <v>129597.63</v>
      </c>
      <c r="D78" s="82">
        <f>D88+D94+D109+D116</f>
        <v>45518.86</v>
      </c>
      <c r="E78" s="83">
        <f>D78/C78*100</f>
        <v>35.123219460108949</v>
      </c>
    </row>
    <row r="79" spans="1:5" s="42" customFormat="1" ht="15.75" x14ac:dyDescent="0.25">
      <c r="A79" s="103" t="s">
        <v>160</v>
      </c>
      <c r="B79" s="104"/>
      <c r="C79" s="96"/>
      <c r="D79" s="96"/>
      <c r="E79" s="91"/>
    </row>
    <row r="80" spans="1:5" ht="42.75" x14ac:dyDescent="0.25">
      <c r="A80" s="124" t="s">
        <v>141</v>
      </c>
      <c r="B80" s="125" t="s">
        <v>142</v>
      </c>
      <c r="C80" s="1" t="s">
        <v>49</v>
      </c>
      <c r="D80" s="1" t="s">
        <v>54</v>
      </c>
      <c r="E80" s="126" t="s">
        <v>143</v>
      </c>
    </row>
    <row r="81" spans="1:5" x14ac:dyDescent="0.25">
      <c r="A81" s="145"/>
      <c r="B81" s="146"/>
      <c r="C81" s="129">
        <v>2</v>
      </c>
      <c r="D81" s="129">
        <v>3</v>
      </c>
      <c r="E81" s="130">
        <v>5</v>
      </c>
    </row>
    <row r="82" spans="1:5" x14ac:dyDescent="0.25">
      <c r="A82" s="118">
        <v>32149</v>
      </c>
      <c r="B82" s="87" t="s">
        <v>75</v>
      </c>
      <c r="C82" s="119">
        <v>516.03</v>
      </c>
      <c r="D82" s="119">
        <v>0</v>
      </c>
      <c r="E82" s="132">
        <f>D82/C82*100</f>
        <v>0</v>
      </c>
    </row>
    <row r="83" spans="1:5" x14ac:dyDescent="0.25">
      <c r="A83" s="118">
        <v>42411</v>
      </c>
      <c r="B83" s="87" t="s">
        <v>108</v>
      </c>
      <c r="C83" s="119">
        <v>265.45</v>
      </c>
      <c r="D83" s="119">
        <v>436.38</v>
      </c>
      <c r="E83" s="132">
        <f t="shared" ref="E83:E88" si="3">D83/C83*100</f>
        <v>164.39254096816725</v>
      </c>
    </row>
    <row r="84" spans="1:5" x14ac:dyDescent="0.25">
      <c r="A84" s="118">
        <v>32961</v>
      </c>
      <c r="B84" s="87" t="s">
        <v>95</v>
      </c>
      <c r="C84" s="119">
        <v>50000</v>
      </c>
      <c r="D84" s="119">
        <v>0</v>
      </c>
      <c r="E84" s="132">
        <f t="shared" si="3"/>
        <v>0</v>
      </c>
    </row>
    <row r="85" spans="1:5" x14ac:dyDescent="0.25">
      <c r="A85" s="118">
        <v>31113</v>
      </c>
      <c r="B85" s="87" t="s">
        <v>172</v>
      </c>
      <c r="C85" s="119">
        <v>60000</v>
      </c>
      <c r="D85" s="119">
        <v>31365.87</v>
      </c>
      <c r="E85" s="132">
        <f t="shared" si="3"/>
        <v>52.276449999999997</v>
      </c>
    </row>
    <row r="86" spans="1:5" x14ac:dyDescent="0.25">
      <c r="A86" s="118">
        <v>32221</v>
      </c>
      <c r="B86" s="87" t="s">
        <v>78</v>
      </c>
      <c r="C86" s="119">
        <v>0</v>
      </c>
      <c r="D86" s="119">
        <v>1041.01</v>
      </c>
      <c r="E86" s="132" t="e">
        <f t="shared" si="3"/>
        <v>#DIV/0!</v>
      </c>
    </row>
    <row r="87" spans="1:5" x14ac:dyDescent="0.25">
      <c r="A87" s="118">
        <v>32372</v>
      </c>
      <c r="B87" s="87" t="s">
        <v>212</v>
      </c>
      <c r="C87" s="119">
        <v>0</v>
      </c>
      <c r="D87" s="119">
        <v>1177.93</v>
      </c>
      <c r="E87" s="132" t="e">
        <f t="shared" si="3"/>
        <v>#DIV/0!</v>
      </c>
    </row>
    <row r="88" spans="1:5" x14ac:dyDescent="0.25">
      <c r="A88" s="120" t="s">
        <v>151</v>
      </c>
      <c r="B88" s="133"/>
      <c r="C88" s="122">
        <f>SUM(C82:C85)</f>
        <v>110781.48000000001</v>
      </c>
      <c r="D88" s="122">
        <f>SUM(D82:D87)</f>
        <v>34021.19</v>
      </c>
      <c r="E88" s="134">
        <f t="shared" si="3"/>
        <v>30.710178271675009</v>
      </c>
    </row>
    <row r="89" spans="1:5" s="42" customFormat="1" x14ac:dyDescent="0.25">
      <c r="A89" s="106"/>
      <c r="B89" s="107"/>
      <c r="C89" s="108"/>
      <c r="D89" s="108"/>
      <c r="E89" s="91"/>
    </row>
    <row r="90" spans="1:5" s="42" customFormat="1" ht="15.75" x14ac:dyDescent="0.25">
      <c r="A90" s="103" t="s">
        <v>173</v>
      </c>
      <c r="B90" s="104"/>
      <c r="C90" s="96"/>
      <c r="D90" s="96"/>
      <c r="E90" s="91"/>
    </row>
    <row r="91" spans="1:5" ht="42.75" x14ac:dyDescent="0.25">
      <c r="A91" s="124" t="s">
        <v>141</v>
      </c>
      <c r="B91" s="125" t="s">
        <v>142</v>
      </c>
      <c r="C91" s="1" t="s">
        <v>49</v>
      </c>
      <c r="D91" s="1" t="s">
        <v>54</v>
      </c>
      <c r="E91" s="126" t="s">
        <v>143</v>
      </c>
    </row>
    <row r="92" spans="1:5" x14ac:dyDescent="0.25">
      <c r="A92" s="145"/>
      <c r="B92" s="146"/>
      <c r="C92" s="129">
        <v>2</v>
      </c>
      <c r="D92" s="129">
        <v>3</v>
      </c>
      <c r="E92" s="130">
        <v>5</v>
      </c>
    </row>
    <row r="93" spans="1:5" x14ac:dyDescent="0.25">
      <c r="A93" s="118">
        <v>32999</v>
      </c>
      <c r="B93" s="87" t="s">
        <v>92</v>
      </c>
      <c r="C93" s="150">
        <v>1498.08</v>
      </c>
      <c r="D93" s="150">
        <v>1498.08</v>
      </c>
      <c r="E93" s="151">
        <f>D93/C93*100</f>
        <v>100</v>
      </c>
    </row>
    <row r="94" spans="1:5" x14ac:dyDescent="0.25">
      <c r="A94" s="120" t="s">
        <v>151</v>
      </c>
      <c r="B94" s="133"/>
      <c r="C94" s="122">
        <f>C93</f>
        <v>1498.08</v>
      </c>
      <c r="D94" s="122">
        <f>D93</f>
        <v>1498.08</v>
      </c>
      <c r="E94" s="152">
        <f>D94/C94*100</f>
        <v>100</v>
      </c>
    </row>
    <row r="95" spans="1:5" s="42" customFormat="1" x14ac:dyDescent="0.25">
      <c r="A95" s="105"/>
      <c r="B95" s="104"/>
      <c r="C95" s="96"/>
      <c r="D95" s="96"/>
      <c r="E95" s="91"/>
    </row>
    <row r="96" spans="1:5" s="42" customFormat="1" ht="15.75" x14ac:dyDescent="0.25">
      <c r="A96" s="103" t="s">
        <v>174</v>
      </c>
      <c r="B96" s="104"/>
      <c r="C96" s="96"/>
      <c r="D96" s="96"/>
      <c r="E96" s="91"/>
    </row>
    <row r="97" spans="1:5" ht="42.75" x14ac:dyDescent="0.25">
      <c r="A97" s="124" t="s">
        <v>141</v>
      </c>
      <c r="B97" s="125" t="s">
        <v>142</v>
      </c>
      <c r="C97" s="1" t="s">
        <v>49</v>
      </c>
      <c r="D97" s="1" t="s">
        <v>54</v>
      </c>
      <c r="E97" s="126" t="s">
        <v>143</v>
      </c>
    </row>
    <row r="98" spans="1:5" x14ac:dyDescent="0.25">
      <c r="A98" s="145"/>
      <c r="B98" s="146"/>
      <c r="C98" s="129">
        <v>2</v>
      </c>
      <c r="D98" s="129">
        <v>3</v>
      </c>
      <c r="E98" s="130">
        <v>5</v>
      </c>
    </row>
    <row r="99" spans="1:5" x14ac:dyDescent="0.25">
      <c r="A99" s="139">
        <v>32111</v>
      </c>
      <c r="B99" s="115" t="s">
        <v>29</v>
      </c>
      <c r="C99" s="140">
        <v>2000</v>
      </c>
      <c r="D99" s="140">
        <v>1667.77</v>
      </c>
      <c r="E99" s="141">
        <f>D99/C99*100</f>
        <v>83.388499999999993</v>
      </c>
    </row>
    <row r="100" spans="1:5" x14ac:dyDescent="0.25">
      <c r="A100" s="139">
        <v>32141</v>
      </c>
      <c r="B100" s="115" t="s">
        <v>194</v>
      </c>
      <c r="C100" s="140">
        <v>0</v>
      </c>
      <c r="D100" s="140">
        <v>514.4</v>
      </c>
      <c r="E100" s="141" t="e">
        <f t="shared" ref="E100:E109" si="4">D100/C100*100</f>
        <v>#DIV/0!</v>
      </c>
    </row>
    <row r="101" spans="1:5" x14ac:dyDescent="0.25">
      <c r="A101" s="118">
        <v>32211</v>
      </c>
      <c r="B101" s="87" t="s">
        <v>175</v>
      </c>
      <c r="C101" s="119">
        <v>1000</v>
      </c>
      <c r="D101" s="119">
        <v>8.31</v>
      </c>
      <c r="E101" s="141">
        <f t="shared" si="4"/>
        <v>0.83099999999999996</v>
      </c>
    </row>
    <row r="102" spans="1:5" x14ac:dyDescent="0.25">
      <c r="A102" s="118">
        <v>32221</v>
      </c>
      <c r="B102" s="87" t="s">
        <v>195</v>
      </c>
      <c r="C102" s="119">
        <v>3000</v>
      </c>
      <c r="D102" s="119">
        <v>1133.33</v>
      </c>
      <c r="E102" s="141">
        <f t="shared" si="4"/>
        <v>37.777666666666661</v>
      </c>
    </row>
    <row r="103" spans="1:5" x14ac:dyDescent="0.25">
      <c r="A103" s="118">
        <v>32251</v>
      </c>
      <c r="B103" s="87" t="s">
        <v>147</v>
      </c>
      <c r="C103" s="119">
        <v>1500</v>
      </c>
      <c r="D103" s="119">
        <v>794.99</v>
      </c>
      <c r="E103" s="141">
        <f t="shared" si="4"/>
        <v>52.999333333333333</v>
      </c>
    </row>
    <row r="104" spans="1:5" x14ac:dyDescent="0.25">
      <c r="A104" s="118">
        <v>32311</v>
      </c>
      <c r="B104" s="87" t="s">
        <v>84</v>
      </c>
      <c r="C104" s="119">
        <v>0</v>
      </c>
      <c r="D104" s="119">
        <v>790.41</v>
      </c>
      <c r="E104" s="141" t="e">
        <f t="shared" si="4"/>
        <v>#DIV/0!</v>
      </c>
    </row>
    <row r="105" spans="1:5" x14ac:dyDescent="0.25">
      <c r="A105" s="118">
        <v>32321</v>
      </c>
      <c r="B105" s="87" t="s">
        <v>196</v>
      </c>
      <c r="C105" s="119">
        <v>2000</v>
      </c>
      <c r="D105" s="119">
        <v>720.3</v>
      </c>
      <c r="E105" s="141">
        <f t="shared" si="4"/>
        <v>36.015000000000001</v>
      </c>
    </row>
    <row r="106" spans="1:5" x14ac:dyDescent="0.25">
      <c r="A106" s="118">
        <v>32341</v>
      </c>
      <c r="B106" s="87" t="s">
        <v>197</v>
      </c>
      <c r="C106" s="119">
        <v>3000</v>
      </c>
      <c r="D106" s="119">
        <v>1565.23</v>
      </c>
      <c r="E106" s="141">
        <f t="shared" si="4"/>
        <v>52.174333333333337</v>
      </c>
    </row>
    <row r="107" spans="1:5" x14ac:dyDescent="0.25">
      <c r="A107" s="118">
        <v>32389</v>
      </c>
      <c r="B107" s="87" t="s">
        <v>213</v>
      </c>
      <c r="C107" s="119">
        <v>0</v>
      </c>
      <c r="D107" s="119">
        <v>180.5</v>
      </c>
      <c r="E107" s="141" t="e">
        <f t="shared" si="4"/>
        <v>#DIV/0!</v>
      </c>
    </row>
    <row r="108" spans="1:5" x14ac:dyDescent="0.25">
      <c r="A108" s="118">
        <v>32999</v>
      </c>
      <c r="B108" s="87" t="s">
        <v>92</v>
      </c>
      <c r="C108" s="119">
        <v>1500</v>
      </c>
      <c r="D108" s="119">
        <v>2624.35</v>
      </c>
      <c r="E108" s="141">
        <f t="shared" si="4"/>
        <v>174.95666666666668</v>
      </c>
    </row>
    <row r="109" spans="1:5" x14ac:dyDescent="0.25">
      <c r="A109" s="120" t="s">
        <v>151</v>
      </c>
      <c r="B109" s="133"/>
      <c r="C109" s="122">
        <f>SUM(C99:C108)</f>
        <v>14000</v>
      </c>
      <c r="D109" s="122">
        <f>SUM(D99:D108)</f>
        <v>9999.59</v>
      </c>
      <c r="E109" s="126">
        <f t="shared" si="4"/>
        <v>71.425642857142861</v>
      </c>
    </row>
    <row r="110" spans="1:5" s="42" customFormat="1" x14ac:dyDescent="0.25">
      <c r="A110" s="104"/>
      <c r="B110" s="104"/>
      <c r="C110" s="96"/>
      <c r="D110" s="96"/>
      <c r="E110" s="91"/>
    </row>
    <row r="111" spans="1:5" s="42" customFormat="1" ht="15.75" x14ac:dyDescent="0.25">
      <c r="A111" s="103" t="s">
        <v>176</v>
      </c>
      <c r="B111" s="104"/>
      <c r="C111" s="96"/>
      <c r="D111" s="96"/>
      <c r="E111" s="91"/>
    </row>
    <row r="112" spans="1:5" ht="42.75" x14ac:dyDescent="0.25">
      <c r="A112" s="124" t="s">
        <v>141</v>
      </c>
      <c r="B112" s="125" t="s">
        <v>142</v>
      </c>
      <c r="C112" s="1" t="s">
        <v>49</v>
      </c>
      <c r="D112" s="1" t="s">
        <v>54</v>
      </c>
      <c r="E112" s="126" t="s">
        <v>143</v>
      </c>
    </row>
    <row r="113" spans="1:5" x14ac:dyDescent="0.25">
      <c r="A113" s="145"/>
      <c r="B113" s="146"/>
      <c r="C113" s="129">
        <v>2</v>
      </c>
      <c r="D113" s="129">
        <v>3</v>
      </c>
      <c r="E113" s="130">
        <v>5</v>
      </c>
    </row>
    <row r="114" spans="1:5" x14ac:dyDescent="0.25">
      <c r="A114" s="118">
        <v>32999</v>
      </c>
      <c r="B114" s="87" t="s">
        <v>92</v>
      </c>
      <c r="C114" s="119">
        <v>1327.23</v>
      </c>
      <c r="D114" s="119">
        <v>0</v>
      </c>
      <c r="E114" s="132">
        <f>D114/C114*100</f>
        <v>0</v>
      </c>
    </row>
    <row r="115" spans="1:5" x14ac:dyDescent="0.25">
      <c r="A115" s="118">
        <v>42212</v>
      </c>
      <c r="B115" s="87" t="s">
        <v>180</v>
      </c>
      <c r="C115" s="119">
        <v>1990.84</v>
      </c>
      <c r="D115" s="119">
        <v>0</v>
      </c>
      <c r="E115" s="132">
        <f>D115/C115*100</f>
        <v>0</v>
      </c>
    </row>
    <row r="116" spans="1:5" x14ac:dyDescent="0.25">
      <c r="A116" s="120" t="s">
        <v>151</v>
      </c>
      <c r="B116" s="133"/>
      <c r="C116" s="122">
        <f>SUM(C114:C115)</f>
        <v>3318.0699999999997</v>
      </c>
      <c r="D116" s="122">
        <f>SUM(D114:D115)</f>
        <v>0</v>
      </c>
      <c r="E116" s="134">
        <f>D116/C116*100</f>
        <v>0</v>
      </c>
    </row>
    <row r="117" spans="1:5" s="42" customFormat="1" x14ac:dyDescent="0.25">
      <c r="A117" s="105"/>
      <c r="B117" s="104"/>
      <c r="C117" s="96"/>
      <c r="D117" s="96"/>
      <c r="E117" s="91"/>
    </row>
    <row r="118" spans="1:5" s="42" customFormat="1" x14ac:dyDescent="0.25">
      <c r="A118" s="92"/>
      <c r="B118" s="109"/>
      <c r="C118" s="94"/>
      <c r="D118" s="94"/>
      <c r="E118" s="95"/>
    </row>
    <row r="119" spans="1:5" ht="19.5" x14ac:dyDescent="0.35">
      <c r="A119" s="69" t="s">
        <v>177</v>
      </c>
      <c r="B119" s="70" t="s">
        <v>178</v>
      </c>
      <c r="C119" s="82">
        <f>C124</f>
        <v>2712.58</v>
      </c>
      <c r="D119" s="82">
        <f>D124</f>
        <v>1713.58</v>
      </c>
      <c r="E119" s="83">
        <f>D119/C119*100</f>
        <v>63.171593095871827</v>
      </c>
    </row>
    <row r="120" spans="1:5" s="42" customFormat="1" ht="15.75" x14ac:dyDescent="0.25">
      <c r="A120" s="103" t="s">
        <v>179</v>
      </c>
      <c r="B120" s="104"/>
      <c r="C120" s="96"/>
      <c r="D120" s="96"/>
      <c r="E120" s="91"/>
    </row>
    <row r="121" spans="1:5" ht="42.75" x14ac:dyDescent="0.25">
      <c r="A121" s="124" t="s">
        <v>141</v>
      </c>
      <c r="B121" s="125" t="s">
        <v>142</v>
      </c>
      <c r="C121" s="1" t="s">
        <v>49</v>
      </c>
      <c r="D121" s="1" t="s">
        <v>54</v>
      </c>
      <c r="E121" s="126" t="s">
        <v>143</v>
      </c>
    </row>
    <row r="122" spans="1:5" x14ac:dyDescent="0.25">
      <c r="A122" s="145"/>
      <c r="B122" s="146"/>
      <c r="C122" s="129">
        <v>2</v>
      </c>
      <c r="D122" s="129">
        <v>3</v>
      </c>
      <c r="E122" s="130">
        <v>5</v>
      </c>
    </row>
    <row r="123" spans="1:5" x14ac:dyDescent="0.25">
      <c r="A123" s="118">
        <v>32221</v>
      </c>
      <c r="B123" s="87" t="s">
        <v>78</v>
      </c>
      <c r="C123" s="119">
        <v>2712.58</v>
      </c>
      <c r="D123" s="119">
        <v>1713.58</v>
      </c>
      <c r="E123" s="132">
        <f>D123/C123*100</f>
        <v>63.171593095871827</v>
      </c>
    </row>
    <row r="124" spans="1:5" x14ac:dyDescent="0.25">
      <c r="A124" s="120" t="s">
        <v>155</v>
      </c>
      <c r="B124" s="133"/>
      <c r="C124" s="122">
        <f>C123</f>
        <v>2712.58</v>
      </c>
      <c r="D124" s="122">
        <f>D123</f>
        <v>1713.58</v>
      </c>
      <c r="E124" s="134">
        <f>D124/C124*100</f>
        <v>63.171593095871827</v>
      </c>
    </row>
    <row r="125" spans="1:5" s="42" customFormat="1" x14ac:dyDescent="0.25">
      <c r="A125" s="92"/>
      <c r="B125" s="93"/>
      <c r="C125" s="94"/>
      <c r="D125" s="94"/>
      <c r="E125" s="95"/>
    </row>
    <row r="126" spans="1:5" s="42" customFormat="1" x14ac:dyDescent="0.25">
      <c r="A126" s="92"/>
      <c r="B126" s="93"/>
      <c r="C126" s="94"/>
      <c r="D126" s="94"/>
      <c r="E126" s="95"/>
    </row>
    <row r="127" spans="1:5" s="42" customFormat="1" ht="15.75" x14ac:dyDescent="0.25">
      <c r="A127" s="103" t="s">
        <v>181</v>
      </c>
      <c r="B127" s="104"/>
      <c r="C127" s="96"/>
      <c r="D127" s="96"/>
      <c r="E127" s="91"/>
    </row>
    <row r="128" spans="1:5" ht="42.75" x14ac:dyDescent="0.25">
      <c r="A128" s="124" t="s">
        <v>141</v>
      </c>
      <c r="B128" s="125" t="s">
        <v>142</v>
      </c>
      <c r="C128" s="1" t="s">
        <v>49</v>
      </c>
      <c r="D128" s="1" t="s">
        <v>54</v>
      </c>
      <c r="E128" s="126" t="s">
        <v>143</v>
      </c>
    </row>
    <row r="129" spans="1:5" x14ac:dyDescent="0.25">
      <c r="A129" s="147"/>
      <c r="B129" s="115"/>
      <c r="C129" s="129">
        <v>2</v>
      </c>
      <c r="D129" s="129">
        <v>3</v>
      </c>
      <c r="E129" s="130">
        <v>5</v>
      </c>
    </row>
    <row r="130" spans="1:5" x14ac:dyDescent="0.25">
      <c r="A130" s="147">
        <v>32221</v>
      </c>
      <c r="B130" s="148" t="s">
        <v>78</v>
      </c>
      <c r="C130" s="149">
        <v>10000</v>
      </c>
      <c r="D130" s="149">
        <v>0</v>
      </c>
      <c r="E130" s="141">
        <f>D130/C130*100</f>
        <v>0</v>
      </c>
    </row>
    <row r="131" spans="1:5" x14ac:dyDescent="0.25">
      <c r="A131" s="147">
        <v>32251</v>
      </c>
      <c r="B131" s="148" t="s">
        <v>147</v>
      </c>
      <c r="C131" s="149">
        <v>398.17</v>
      </c>
      <c r="D131" s="149">
        <v>0</v>
      </c>
      <c r="E131" s="141">
        <f t="shared" ref="E131:E137" si="5">D131/C131*100</f>
        <v>0</v>
      </c>
    </row>
    <row r="132" spans="1:5" x14ac:dyDescent="0.25">
      <c r="A132" s="147">
        <v>32271</v>
      </c>
      <c r="B132" s="148" t="s">
        <v>198</v>
      </c>
      <c r="C132" s="149">
        <v>132.72</v>
      </c>
      <c r="D132" s="149">
        <v>0</v>
      </c>
      <c r="E132" s="141">
        <f t="shared" si="5"/>
        <v>0</v>
      </c>
    </row>
    <row r="133" spans="1:5" x14ac:dyDescent="0.25">
      <c r="A133" s="147">
        <v>32349</v>
      </c>
      <c r="B133" s="148" t="s">
        <v>86</v>
      </c>
      <c r="C133" s="149">
        <v>663.61</v>
      </c>
      <c r="D133" s="149">
        <v>0</v>
      </c>
      <c r="E133" s="141">
        <f t="shared" si="5"/>
        <v>0</v>
      </c>
    </row>
    <row r="134" spans="1:5" x14ac:dyDescent="0.25">
      <c r="A134" s="147">
        <v>32361</v>
      </c>
      <c r="B134" s="148" t="s">
        <v>199</v>
      </c>
      <c r="C134" s="149">
        <v>331.81</v>
      </c>
      <c r="D134" s="149">
        <v>0</v>
      </c>
      <c r="E134" s="141">
        <f t="shared" si="5"/>
        <v>0</v>
      </c>
    </row>
    <row r="135" spans="1:5" x14ac:dyDescent="0.25">
      <c r="A135" s="118">
        <v>32399</v>
      </c>
      <c r="B135" s="153" t="s">
        <v>91</v>
      </c>
      <c r="C135" s="154">
        <v>398.17</v>
      </c>
      <c r="D135" s="154">
        <v>0</v>
      </c>
      <c r="E135" s="141">
        <f t="shared" si="5"/>
        <v>0</v>
      </c>
    </row>
    <row r="136" spans="1:5" x14ac:dyDescent="0.25">
      <c r="A136" s="118">
        <v>32999</v>
      </c>
      <c r="B136" s="153" t="s">
        <v>200</v>
      </c>
      <c r="C136" s="154">
        <v>1592.67</v>
      </c>
      <c r="D136" s="154">
        <v>2133.42</v>
      </c>
      <c r="E136" s="141">
        <f t="shared" si="5"/>
        <v>133.95241952193487</v>
      </c>
    </row>
    <row r="137" spans="1:5" x14ac:dyDescent="0.25">
      <c r="A137" s="120" t="s">
        <v>155</v>
      </c>
      <c r="B137" s="133"/>
      <c r="C137" s="122">
        <f>SUM(C130:C136)</f>
        <v>13517.15</v>
      </c>
      <c r="D137" s="122">
        <f>SUM(D130:D136)</f>
        <v>2133.42</v>
      </c>
      <c r="E137" s="126">
        <f t="shared" si="5"/>
        <v>15.783060778344549</v>
      </c>
    </row>
    <row r="138" spans="1:5" s="42" customFormat="1" x14ac:dyDescent="0.25">
      <c r="A138" s="92"/>
      <c r="B138" s="93"/>
      <c r="C138" s="94"/>
      <c r="D138" s="94"/>
      <c r="E138" s="95"/>
    </row>
    <row r="139" spans="1:5" ht="19.5" x14ac:dyDescent="0.35">
      <c r="A139" s="69" t="s">
        <v>201</v>
      </c>
      <c r="B139" s="70" t="s">
        <v>202</v>
      </c>
      <c r="C139" s="82">
        <f>C144</f>
        <v>0</v>
      </c>
      <c r="D139" s="82">
        <f>D144</f>
        <v>1109.1400000000001</v>
      </c>
      <c r="E139" s="83" t="e">
        <f>D139/C139*100</f>
        <v>#DIV/0!</v>
      </c>
    </row>
    <row r="140" spans="1:5" s="42" customFormat="1" ht="15.75" x14ac:dyDescent="0.25">
      <c r="A140" s="194" t="s">
        <v>166</v>
      </c>
      <c r="B140" s="195"/>
      <c r="C140" s="96"/>
      <c r="D140" s="96"/>
      <c r="E140" s="91"/>
    </row>
    <row r="141" spans="1:5" ht="42.75" x14ac:dyDescent="0.25">
      <c r="A141" s="124" t="s">
        <v>141</v>
      </c>
      <c r="B141" s="125" t="s">
        <v>142</v>
      </c>
      <c r="C141" s="1" t="s">
        <v>49</v>
      </c>
      <c r="D141" s="1" t="s">
        <v>54</v>
      </c>
      <c r="E141" s="126" t="s">
        <v>143</v>
      </c>
    </row>
    <row r="142" spans="1:5" x14ac:dyDescent="0.25">
      <c r="A142" s="145"/>
      <c r="B142" s="146"/>
      <c r="C142" s="129">
        <v>2</v>
      </c>
      <c r="D142" s="129">
        <v>3</v>
      </c>
      <c r="E142" s="130">
        <v>5</v>
      </c>
    </row>
    <row r="143" spans="1:5" x14ac:dyDescent="0.25">
      <c r="A143" s="118">
        <v>32999</v>
      </c>
      <c r="B143" s="87" t="s">
        <v>167</v>
      </c>
      <c r="C143" s="119">
        <v>0</v>
      </c>
      <c r="D143" s="119">
        <v>1109.1400000000001</v>
      </c>
      <c r="E143" s="132" t="e">
        <f>D143/C143*100</f>
        <v>#DIV/0!</v>
      </c>
    </row>
    <row r="144" spans="1:5" x14ac:dyDescent="0.25">
      <c r="A144" s="120" t="s">
        <v>155</v>
      </c>
      <c r="B144" s="133"/>
      <c r="C144" s="122">
        <f>C143</f>
        <v>0</v>
      </c>
      <c r="D144" s="122">
        <f>D143</f>
        <v>1109.1400000000001</v>
      </c>
      <c r="E144" s="134" t="e">
        <f>D144/C144*100</f>
        <v>#DIV/0!</v>
      </c>
    </row>
    <row r="145" spans="1:5" s="42" customFormat="1" x14ac:dyDescent="0.25">
      <c r="A145" s="135"/>
      <c r="B145" s="136"/>
      <c r="C145" s="137"/>
      <c r="D145" s="137"/>
      <c r="E145" s="138"/>
    </row>
    <row r="146" spans="1:5" s="42" customFormat="1" x14ac:dyDescent="0.25">
      <c r="A146" s="92"/>
      <c r="B146" s="107"/>
      <c r="C146" s="94"/>
      <c r="D146" s="94"/>
      <c r="E146" s="95"/>
    </row>
    <row r="147" spans="1:5" ht="19.5" x14ac:dyDescent="0.35">
      <c r="A147" s="69" t="s">
        <v>183</v>
      </c>
      <c r="B147" s="70" t="s">
        <v>184</v>
      </c>
      <c r="C147" s="82">
        <f>C152</f>
        <v>18581.189999999999</v>
      </c>
      <c r="D147" s="82">
        <f>D152</f>
        <v>0</v>
      </c>
      <c r="E147" s="83">
        <f>D147/C147*100</f>
        <v>0</v>
      </c>
    </row>
    <row r="148" spans="1:5" s="42" customFormat="1" ht="15.75" x14ac:dyDescent="0.25">
      <c r="A148" s="103" t="s">
        <v>160</v>
      </c>
      <c r="B148" s="104"/>
      <c r="C148" s="96"/>
      <c r="D148" s="96"/>
      <c r="E148" s="91"/>
    </row>
    <row r="149" spans="1:5" ht="42.75" x14ac:dyDescent="0.25">
      <c r="A149" s="124" t="s">
        <v>141</v>
      </c>
      <c r="B149" s="125" t="s">
        <v>142</v>
      </c>
      <c r="C149" s="1" t="s">
        <v>49</v>
      </c>
      <c r="D149" s="1" t="s">
        <v>54</v>
      </c>
      <c r="E149" s="126" t="s">
        <v>143</v>
      </c>
    </row>
    <row r="150" spans="1:5" x14ac:dyDescent="0.25">
      <c r="A150" s="145"/>
      <c r="B150" s="146"/>
      <c r="C150" s="129">
        <v>2</v>
      </c>
      <c r="D150" s="129">
        <v>3</v>
      </c>
      <c r="E150" s="130">
        <v>5</v>
      </c>
    </row>
    <row r="151" spans="1:5" x14ac:dyDescent="0.25">
      <c r="A151" s="118">
        <v>42411</v>
      </c>
      <c r="B151" s="87" t="s">
        <v>184</v>
      </c>
      <c r="C151" s="119">
        <v>18581.189999999999</v>
      </c>
      <c r="D151" s="119">
        <v>0</v>
      </c>
      <c r="E151" s="134">
        <f>D151/C151*100</f>
        <v>0</v>
      </c>
    </row>
    <row r="152" spans="1:5" x14ac:dyDescent="0.25">
      <c r="A152" s="120" t="s">
        <v>155</v>
      </c>
      <c r="B152" s="133"/>
      <c r="C152" s="122">
        <f>C151</f>
        <v>18581.189999999999</v>
      </c>
      <c r="D152" s="122">
        <f>D151</f>
        <v>0</v>
      </c>
      <c r="E152" s="134">
        <f>D152/C152*100</f>
        <v>0</v>
      </c>
    </row>
    <row r="153" spans="1:5" s="42" customFormat="1" x14ac:dyDescent="0.25">
      <c r="A153" s="105"/>
      <c r="B153" s="104"/>
      <c r="C153" s="96"/>
      <c r="D153" s="96"/>
      <c r="E153" s="91"/>
    </row>
    <row r="154" spans="1:5" ht="19.5" x14ac:dyDescent="0.35">
      <c r="A154" s="69" t="s">
        <v>185</v>
      </c>
      <c r="B154" s="70" t="s">
        <v>186</v>
      </c>
      <c r="C154" s="82">
        <f>C159</f>
        <v>35612.18</v>
      </c>
      <c r="D154" s="82">
        <f>D159</f>
        <v>49630.55</v>
      </c>
      <c r="E154" s="83">
        <f>D154/C154*100</f>
        <v>139.36397603291908</v>
      </c>
    </row>
    <row r="155" spans="1:5" s="42" customFormat="1" ht="15.75" x14ac:dyDescent="0.25">
      <c r="A155" s="103" t="s">
        <v>160</v>
      </c>
      <c r="B155" s="104"/>
      <c r="C155" s="96"/>
      <c r="D155" s="96"/>
      <c r="E155" s="91"/>
    </row>
    <row r="156" spans="1:5" ht="42.75" x14ac:dyDescent="0.25">
      <c r="A156" s="124" t="s">
        <v>141</v>
      </c>
      <c r="B156" s="125" t="s">
        <v>142</v>
      </c>
      <c r="C156" s="1" t="s">
        <v>49</v>
      </c>
      <c r="D156" s="1" t="s">
        <v>54</v>
      </c>
      <c r="E156" s="126" t="s">
        <v>143</v>
      </c>
    </row>
    <row r="157" spans="1:5" x14ac:dyDescent="0.25">
      <c r="A157" s="145"/>
      <c r="B157" s="146"/>
      <c r="C157" s="129">
        <v>2</v>
      </c>
      <c r="D157" s="129">
        <v>3</v>
      </c>
      <c r="E157" s="130">
        <v>5</v>
      </c>
    </row>
    <row r="158" spans="1:5" x14ac:dyDescent="0.25">
      <c r="A158" s="118">
        <v>32224</v>
      </c>
      <c r="B158" s="87" t="s">
        <v>182</v>
      </c>
      <c r="C158" s="119">
        <v>35612.18</v>
      </c>
      <c r="D158" s="119">
        <v>49630.55</v>
      </c>
      <c r="E158" s="132">
        <f>D158/C158*100</f>
        <v>139.36397603291908</v>
      </c>
    </row>
    <row r="159" spans="1:5" x14ac:dyDescent="0.25">
      <c r="A159" s="120" t="s">
        <v>155</v>
      </c>
      <c r="B159" s="133"/>
      <c r="C159" s="122">
        <f>C158</f>
        <v>35612.18</v>
      </c>
      <c r="D159" s="122">
        <f>D158</f>
        <v>49630.55</v>
      </c>
      <c r="E159" s="134">
        <f>D159/C159*100</f>
        <v>139.36397603291908</v>
      </c>
    </row>
    <row r="160" spans="1:5" s="42" customFormat="1" x14ac:dyDescent="0.25">
      <c r="A160" s="92"/>
      <c r="B160" s="93"/>
      <c r="C160" s="94"/>
      <c r="D160" s="94"/>
      <c r="E160" s="95"/>
    </row>
    <row r="161" spans="1:5" ht="19.5" x14ac:dyDescent="0.35">
      <c r="A161" s="69" t="s">
        <v>187</v>
      </c>
      <c r="B161" s="164" t="s">
        <v>225</v>
      </c>
      <c r="C161" s="82">
        <f>C166</f>
        <v>584.26</v>
      </c>
      <c r="D161" s="82">
        <f>D166</f>
        <v>584.25</v>
      </c>
      <c r="E161" s="83">
        <f>D161/C161*100</f>
        <v>99.998288433231792</v>
      </c>
    </row>
    <row r="162" spans="1:5" s="42" customFormat="1" ht="15.75" x14ac:dyDescent="0.25">
      <c r="A162" s="103" t="s">
        <v>160</v>
      </c>
      <c r="B162" s="104"/>
      <c r="C162" s="96"/>
      <c r="D162" s="96"/>
      <c r="E162" s="91"/>
    </row>
    <row r="163" spans="1:5" ht="42.75" x14ac:dyDescent="0.25">
      <c r="A163" s="124" t="s">
        <v>141</v>
      </c>
      <c r="B163" s="125" t="s">
        <v>142</v>
      </c>
      <c r="C163" s="1" t="s">
        <v>49</v>
      </c>
      <c r="D163" s="1" t="s">
        <v>54</v>
      </c>
      <c r="E163" s="126" t="s">
        <v>143</v>
      </c>
    </row>
    <row r="164" spans="1:5" x14ac:dyDescent="0.25">
      <c r="A164" s="145"/>
      <c r="B164" s="146"/>
      <c r="C164" s="129">
        <v>2</v>
      </c>
      <c r="D164" s="129">
        <v>3</v>
      </c>
      <c r="E164" s="130">
        <v>5</v>
      </c>
    </row>
    <row r="165" spans="1:5" x14ac:dyDescent="0.25">
      <c r="A165" s="118">
        <v>38129</v>
      </c>
      <c r="B165" s="87" t="s">
        <v>203</v>
      </c>
      <c r="C165" s="119">
        <v>584.26</v>
      </c>
      <c r="D165" s="119">
        <v>584.25</v>
      </c>
      <c r="E165" s="132">
        <f>D165/C165*100</f>
        <v>99.998288433231792</v>
      </c>
    </row>
    <row r="166" spans="1:5" x14ac:dyDescent="0.25">
      <c r="A166" s="120" t="s">
        <v>155</v>
      </c>
      <c r="B166" s="133"/>
      <c r="C166" s="122">
        <f>C165</f>
        <v>584.26</v>
      </c>
      <c r="D166" s="122">
        <f>D165</f>
        <v>584.25</v>
      </c>
      <c r="E166" s="134">
        <f>D166/C166*100</f>
        <v>99.998288433231792</v>
      </c>
    </row>
    <row r="167" spans="1:5" s="42" customFormat="1" x14ac:dyDescent="0.25">
      <c r="A167" s="104"/>
      <c r="B167" s="104"/>
      <c r="C167" s="96"/>
      <c r="D167" s="96"/>
      <c r="E167" s="91"/>
    </row>
    <row r="168" spans="1:5" s="42" customFormat="1" x14ac:dyDescent="0.25">
      <c r="A168" s="92"/>
      <c r="B168" s="107"/>
      <c r="C168" s="94"/>
      <c r="D168" s="94"/>
      <c r="E168" s="95"/>
    </row>
    <row r="169" spans="1:5" ht="19.5" x14ac:dyDescent="0.35">
      <c r="A169" s="69" t="s">
        <v>189</v>
      </c>
      <c r="B169" s="112" t="s">
        <v>204</v>
      </c>
      <c r="C169" s="84"/>
      <c r="D169" s="82"/>
      <c r="E169" s="83"/>
    </row>
    <row r="170" spans="1:5" s="42" customFormat="1" ht="15.75" x14ac:dyDescent="0.25">
      <c r="A170" s="103" t="s">
        <v>188</v>
      </c>
      <c r="B170" s="104"/>
      <c r="C170" s="96"/>
      <c r="D170" s="96"/>
      <c r="E170" s="91"/>
    </row>
    <row r="171" spans="1:5" ht="42.75" x14ac:dyDescent="0.25">
      <c r="A171" s="124" t="s">
        <v>141</v>
      </c>
      <c r="B171" s="125" t="s">
        <v>142</v>
      </c>
      <c r="C171" s="1" t="s">
        <v>49</v>
      </c>
      <c r="D171" s="1" t="s">
        <v>54</v>
      </c>
      <c r="E171" s="126" t="s">
        <v>143</v>
      </c>
    </row>
    <row r="172" spans="1:5" x14ac:dyDescent="0.25">
      <c r="A172" s="145"/>
      <c r="B172" s="146"/>
      <c r="C172" s="129">
        <v>2</v>
      </c>
      <c r="D172" s="129">
        <v>3</v>
      </c>
      <c r="E172" s="130">
        <v>5</v>
      </c>
    </row>
    <row r="173" spans="1:5" x14ac:dyDescent="0.25">
      <c r="A173" s="118">
        <v>31111</v>
      </c>
      <c r="B173" s="87" t="s">
        <v>205</v>
      </c>
      <c r="C173" s="119">
        <v>0</v>
      </c>
      <c r="D173" s="119">
        <v>0</v>
      </c>
      <c r="E173" s="132"/>
    </row>
    <row r="174" spans="1:5" x14ac:dyDescent="0.25">
      <c r="A174" s="118">
        <v>31111</v>
      </c>
      <c r="B174" s="87" t="s">
        <v>218</v>
      </c>
      <c r="C174" s="119">
        <v>0</v>
      </c>
      <c r="D174" s="119">
        <v>0</v>
      </c>
      <c r="E174" s="132"/>
    </row>
    <row r="175" spans="1:5" x14ac:dyDescent="0.25">
      <c r="A175" s="118">
        <v>31321</v>
      </c>
      <c r="B175" s="87" t="s">
        <v>221</v>
      </c>
      <c r="C175" s="119">
        <v>0</v>
      </c>
      <c r="D175" s="119">
        <v>0</v>
      </c>
      <c r="E175" s="132"/>
    </row>
    <row r="176" spans="1:5" x14ac:dyDescent="0.25">
      <c r="A176" s="120" t="s">
        <v>151</v>
      </c>
      <c r="B176" s="133"/>
      <c r="C176" s="122">
        <v>0</v>
      </c>
      <c r="D176" s="122">
        <v>0</v>
      </c>
      <c r="E176" s="132"/>
    </row>
    <row r="177" spans="1:5" s="42" customFormat="1" x14ac:dyDescent="0.25">
      <c r="A177" s="105"/>
      <c r="B177" s="104"/>
      <c r="C177" s="96"/>
      <c r="D177" s="96"/>
      <c r="E177" s="91"/>
    </row>
    <row r="178" spans="1:5" s="42" customFormat="1" ht="15.75" x14ac:dyDescent="0.25">
      <c r="A178" s="103" t="s">
        <v>166</v>
      </c>
      <c r="B178" s="104"/>
      <c r="C178" s="96"/>
      <c r="D178" s="96"/>
      <c r="E178" s="91"/>
    </row>
    <row r="179" spans="1:5" ht="42.75" x14ac:dyDescent="0.25">
      <c r="A179" s="124" t="s">
        <v>141</v>
      </c>
      <c r="B179" s="125" t="s">
        <v>142</v>
      </c>
      <c r="C179" s="1" t="s">
        <v>49</v>
      </c>
      <c r="D179" s="1" t="s">
        <v>54</v>
      </c>
      <c r="E179" s="126" t="s">
        <v>143</v>
      </c>
    </row>
    <row r="180" spans="1:5" x14ac:dyDescent="0.25">
      <c r="A180" s="145"/>
      <c r="B180" s="146"/>
      <c r="C180" s="129">
        <v>2</v>
      </c>
      <c r="D180" s="129">
        <v>3</v>
      </c>
      <c r="E180" s="130">
        <v>5</v>
      </c>
    </row>
    <row r="181" spans="1:5" x14ac:dyDescent="0.25">
      <c r="A181" s="118">
        <v>31111</v>
      </c>
      <c r="B181" s="87" t="s">
        <v>205</v>
      </c>
      <c r="C181" s="119">
        <v>0</v>
      </c>
      <c r="D181" s="119">
        <v>7009.2</v>
      </c>
      <c r="E181" s="132" t="e">
        <f>D181/C181*100</f>
        <v>#DIV/0!</v>
      </c>
    </row>
    <row r="182" spans="1:5" x14ac:dyDescent="0.25">
      <c r="A182" s="118">
        <v>31111</v>
      </c>
      <c r="B182" s="87" t="s">
        <v>218</v>
      </c>
      <c r="C182" s="119">
        <v>0</v>
      </c>
      <c r="D182" s="119">
        <v>3504.6</v>
      </c>
      <c r="E182" s="132" t="e">
        <f t="shared" ref="E182:E188" si="6">D182/C182*100</f>
        <v>#DIV/0!</v>
      </c>
    </row>
    <row r="183" spans="1:5" x14ac:dyDescent="0.25">
      <c r="A183" s="118">
        <v>31219</v>
      </c>
      <c r="B183" s="87" t="s">
        <v>215</v>
      </c>
      <c r="C183" s="119">
        <v>0</v>
      </c>
      <c r="D183" s="119">
        <v>1500</v>
      </c>
      <c r="E183" s="132" t="e">
        <f t="shared" si="6"/>
        <v>#DIV/0!</v>
      </c>
    </row>
    <row r="184" spans="1:5" x14ac:dyDescent="0.25">
      <c r="A184" s="118">
        <v>31321</v>
      </c>
      <c r="B184" s="87" t="s">
        <v>207</v>
      </c>
      <c r="C184" s="119">
        <v>0</v>
      </c>
      <c r="D184" s="119">
        <v>2754.62</v>
      </c>
      <c r="E184" s="132" t="e">
        <f t="shared" si="6"/>
        <v>#DIV/0!</v>
      </c>
    </row>
    <row r="185" spans="1:5" x14ac:dyDescent="0.25">
      <c r="A185" s="118">
        <v>31321</v>
      </c>
      <c r="B185" s="87" t="s">
        <v>207</v>
      </c>
      <c r="C185" s="119">
        <v>0</v>
      </c>
      <c r="D185" s="119">
        <v>578.25</v>
      </c>
      <c r="E185" s="132" t="e">
        <f t="shared" si="6"/>
        <v>#DIV/0!</v>
      </c>
    </row>
    <row r="186" spans="1:5" x14ac:dyDescent="0.25">
      <c r="A186" s="118">
        <v>32121</v>
      </c>
      <c r="B186" s="87" t="s">
        <v>219</v>
      </c>
      <c r="C186" s="119">
        <v>0</v>
      </c>
      <c r="D186" s="119">
        <v>1532.47</v>
      </c>
      <c r="E186" s="132" t="e">
        <f t="shared" si="6"/>
        <v>#DIV/0!</v>
      </c>
    </row>
    <row r="187" spans="1:5" x14ac:dyDescent="0.25">
      <c r="A187" s="118">
        <v>32121</v>
      </c>
      <c r="B187" s="87" t="s">
        <v>220</v>
      </c>
      <c r="C187" s="119">
        <v>0</v>
      </c>
      <c r="D187" s="119">
        <v>865.91</v>
      </c>
      <c r="E187" s="132" t="e">
        <f t="shared" si="6"/>
        <v>#DIV/0!</v>
      </c>
    </row>
    <row r="188" spans="1:5" x14ac:dyDescent="0.25">
      <c r="A188" s="120" t="s">
        <v>151</v>
      </c>
      <c r="B188" s="133"/>
      <c r="C188" s="122">
        <f>0</f>
        <v>0</v>
      </c>
      <c r="D188" s="122">
        <f>SUM(D181:D187)</f>
        <v>17745.05</v>
      </c>
      <c r="E188" s="134" t="e">
        <f t="shared" si="6"/>
        <v>#DIV/0!</v>
      </c>
    </row>
    <row r="189" spans="1:5" s="42" customFormat="1" x14ac:dyDescent="0.25">
      <c r="A189" s="92"/>
      <c r="B189" s="93"/>
      <c r="C189" s="94"/>
      <c r="D189" s="94"/>
      <c r="E189" s="95"/>
    </row>
    <row r="190" spans="1:5" s="42" customFormat="1" ht="15.75" x14ac:dyDescent="0.25">
      <c r="A190" s="103" t="s">
        <v>160</v>
      </c>
      <c r="B190" s="104"/>
      <c r="C190" s="96"/>
      <c r="D190" s="96"/>
      <c r="E190" s="91"/>
    </row>
    <row r="191" spans="1:5" ht="42.75" x14ac:dyDescent="0.25">
      <c r="A191" s="124" t="s">
        <v>141</v>
      </c>
      <c r="B191" s="125" t="s">
        <v>142</v>
      </c>
      <c r="C191" s="1" t="s">
        <v>49</v>
      </c>
      <c r="D191" s="1" t="s">
        <v>54</v>
      </c>
      <c r="E191" s="126" t="s">
        <v>143</v>
      </c>
    </row>
    <row r="192" spans="1:5" x14ac:dyDescent="0.25">
      <c r="A192" s="145"/>
      <c r="B192" s="146"/>
      <c r="C192" s="129">
        <v>2</v>
      </c>
      <c r="D192" s="129">
        <v>3</v>
      </c>
      <c r="E192" s="130">
        <v>5</v>
      </c>
    </row>
    <row r="193" spans="1:5" x14ac:dyDescent="0.25">
      <c r="A193" s="118">
        <v>31111</v>
      </c>
      <c r="B193" s="87" t="s">
        <v>206</v>
      </c>
      <c r="C193" s="119">
        <v>0</v>
      </c>
      <c r="D193" s="119">
        <v>7430.08</v>
      </c>
      <c r="E193" s="132" t="e">
        <f>D193/C193*100</f>
        <v>#DIV/0!</v>
      </c>
    </row>
    <row r="194" spans="1:5" x14ac:dyDescent="0.25">
      <c r="A194" s="118">
        <v>31321</v>
      </c>
      <c r="B194" s="87" t="s">
        <v>216</v>
      </c>
      <c r="C194" s="119">
        <v>0</v>
      </c>
      <c r="D194" s="119">
        <v>389.01</v>
      </c>
      <c r="E194" s="132" t="e">
        <f t="shared" ref="E194:E196" si="7">D194/C194*100</f>
        <v>#DIV/0!</v>
      </c>
    </row>
    <row r="195" spans="1:5" x14ac:dyDescent="0.25">
      <c r="A195" s="118">
        <v>31321</v>
      </c>
      <c r="B195" s="87" t="s">
        <v>217</v>
      </c>
      <c r="C195" s="119">
        <v>0</v>
      </c>
      <c r="D195" s="119">
        <v>1103.95</v>
      </c>
      <c r="E195" s="132" t="e">
        <f t="shared" si="7"/>
        <v>#DIV/0!</v>
      </c>
    </row>
    <row r="196" spans="1:5" x14ac:dyDescent="0.25">
      <c r="A196" s="120" t="s">
        <v>151</v>
      </c>
      <c r="B196" s="133"/>
      <c r="C196" s="122">
        <f>0</f>
        <v>0</v>
      </c>
      <c r="D196" s="122">
        <f>SUM(D193:D195)</f>
        <v>8923.0400000000009</v>
      </c>
      <c r="E196" s="132" t="e">
        <f t="shared" si="7"/>
        <v>#DIV/0!</v>
      </c>
    </row>
    <row r="197" spans="1:5" s="42" customFormat="1" x14ac:dyDescent="0.25">
      <c r="A197" s="92"/>
      <c r="B197" s="93"/>
      <c r="C197" s="94"/>
      <c r="D197" s="94"/>
      <c r="E197" s="95"/>
    </row>
    <row r="198" spans="1:5" s="42" customFormat="1" ht="15.75" x14ac:dyDescent="0.25">
      <c r="A198" s="103" t="s">
        <v>190</v>
      </c>
      <c r="B198" s="104"/>
      <c r="C198" s="96"/>
      <c r="D198" s="96"/>
      <c r="E198" s="91"/>
    </row>
    <row r="199" spans="1:5" ht="42.75" x14ac:dyDescent="0.25">
      <c r="A199" s="124" t="s">
        <v>141</v>
      </c>
      <c r="B199" s="125" t="s">
        <v>142</v>
      </c>
      <c r="C199" s="1" t="s">
        <v>49</v>
      </c>
      <c r="D199" s="1" t="s">
        <v>54</v>
      </c>
      <c r="E199" s="126" t="s">
        <v>143</v>
      </c>
    </row>
    <row r="200" spans="1:5" x14ac:dyDescent="0.25">
      <c r="A200" s="145"/>
      <c r="B200" s="146"/>
      <c r="C200" s="129">
        <v>2</v>
      </c>
      <c r="D200" s="129">
        <v>3</v>
      </c>
      <c r="E200" s="130">
        <v>5</v>
      </c>
    </row>
    <row r="201" spans="1:5" x14ac:dyDescent="0.25">
      <c r="A201" s="118">
        <v>31111</v>
      </c>
      <c r="B201" s="87" t="s">
        <v>208</v>
      </c>
      <c r="C201" s="119">
        <v>0</v>
      </c>
      <c r="D201" s="119">
        <v>7544.12</v>
      </c>
      <c r="E201" s="132" t="e">
        <f>D201/C201*100</f>
        <v>#DIV/0!</v>
      </c>
    </row>
    <row r="202" spans="1:5" x14ac:dyDescent="0.25">
      <c r="A202" s="118">
        <v>31111</v>
      </c>
      <c r="B202" s="87" t="s">
        <v>214</v>
      </c>
      <c r="C202" s="119">
        <v>0</v>
      </c>
      <c r="D202" s="119">
        <v>6690.6</v>
      </c>
      <c r="E202" s="132" t="e">
        <f t="shared" ref="E202:E206" si="8">D202/C202*100</f>
        <v>#DIV/0!</v>
      </c>
    </row>
    <row r="203" spans="1:5" x14ac:dyDescent="0.25">
      <c r="A203" s="118">
        <v>31321</v>
      </c>
      <c r="B203" s="87" t="s">
        <v>209</v>
      </c>
      <c r="C203" s="119">
        <v>0</v>
      </c>
      <c r="D203" s="119">
        <v>483.64</v>
      </c>
      <c r="E203" s="132" t="e">
        <f t="shared" si="8"/>
        <v>#DIV/0!</v>
      </c>
    </row>
    <row r="204" spans="1:5" x14ac:dyDescent="0.25">
      <c r="A204" s="118">
        <v>31219</v>
      </c>
      <c r="B204" s="87" t="s">
        <v>210</v>
      </c>
      <c r="C204" s="119">
        <v>0</v>
      </c>
      <c r="D204" s="119">
        <v>862.7</v>
      </c>
      <c r="E204" s="132" t="e">
        <f t="shared" si="8"/>
        <v>#DIV/0!</v>
      </c>
    </row>
    <row r="205" spans="1:5" x14ac:dyDescent="0.25">
      <c r="A205" s="118">
        <v>31219</v>
      </c>
      <c r="B205" s="87" t="s">
        <v>215</v>
      </c>
      <c r="C205" s="119">
        <v>0</v>
      </c>
      <c r="D205" s="119">
        <v>700</v>
      </c>
      <c r="E205" s="132" t="e">
        <f t="shared" si="8"/>
        <v>#DIV/0!</v>
      </c>
    </row>
    <row r="206" spans="1:5" x14ac:dyDescent="0.25">
      <c r="A206" s="120" t="s">
        <v>151</v>
      </c>
      <c r="B206" s="133"/>
      <c r="C206" s="122">
        <f>0</f>
        <v>0</v>
      </c>
      <c r="D206" s="122">
        <f>SUM(D201:D205)</f>
        <v>16281.060000000001</v>
      </c>
      <c r="E206" s="134" t="e">
        <f t="shared" si="8"/>
        <v>#DIV/0!</v>
      </c>
    </row>
    <row r="207" spans="1:5" s="42" customFormat="1" x14ac:dyDescent="0.25">
      <c r="A207" s="92"/>
      <c r="B207" s="93"/>
      <c r="C207" s="94"/>
      <c r="D207" s="94"/>
      <c r="E207" s="110"/>
    </row>
    <row r="208" spans="1:5" s="42" customFormat="1" x14ac:dyDescent="0.25">
      <c r="A208" s="100" t="s">
        <v>155</v>
      </c>
      <c r="B208" s="99"/>
      <c r="C208" s="101">
        <f>C176+C188+C196+C206</f>
        <v>0</v>
      </c>
      <c r="D208" s="101">
        <f>D176+D188+D196+D206</f>
        <v>42949.15</v>
      </c>
      <c r="E208" s="102" t="e">
        <f>D208/C208*100</f>
        <v>#DIV/0!</v>
      </c>
    </row>
    <row r="209" spans="1:5" s="42" customFormat="1" x14ac:dyDescent="0.25">
      <c r="A209" s="92"/>
      <c r="B209" s="107"/>
      <c r="C209" s="94"/>
      <c r="D209" s="94"/>
      <c r="E209" s="95"/>
    </row>
    <row r="210" spans="1:5" s="42" customFormat="1" x14ac:dyDescent="0.25">
      <c r="C210" s="111">
        <f>C208+C60+C5</f>
        <v>1106082.4900000002</v>
      </c>
      <c r="D210" s="111">
        <f>D208+D60+D5</f>
        <v>1311234.24</v>
      </c>
      <c r="E210" s="111">
        <f>(D210/C210)*100</f>
        <v>118.54759946520804</v>
      </c>
    </row>
    <row r="211" spans="1:5" s="42" customFormat="1" x14ac:dyDescent="0.25">
      <c r="E211" s="91"/>
    </row>
    <row r="212" spans="1:5" s="42" customFormat="1" x14ac:dyDescent="0.25">
      <c r="E212" s="91"/>
    </row>
    <row r="213" spans="1:5" s="42" customFormat="1" x14ac:dyDescent="0.25">
      <c r="E213" s="91"/>
    </row>
    <row r="214" spans="1:5" s="42" customFormat="1" x14ac:dyDescent="0.25">
      <c r="E214" s="91"/>
    </row>
    <row r="215" spans="1:5" s="42" customFormat="1" x14ac:dyDescent="0.25">
      <c r="E215" s="91"/>
    </row>
    <row r="216" spans="1:5" s="42" customFormat="1" x14ac:dyDescent="0.25">
      <c r="E216" s="91"/>
    </row>
    <row r="217" spans="1:5" s="42" customFormat="1" x14ac:dyDescent="0.25">
      <c r="E217" s="91"/>
    </row>
    <row r="218" spans="1:5" s="42" customFormat="1" x14ac:dyDescent="0.25">
      <c r="E218" s="91"/>
    </row>
    <row r="219" spans="1:5" s="42" customFormat="1" x14ac:dyDescent="0.25">
      <c r="E219" s="91"/>
    </row>
    <row r="220" spans="1:5" s="42" customFormat="1" x14ac:dyDescent="0.25">
      <c r="E220" s="91"/>
    </row>
    <row r="221" spans="1:5" s="42" customFormat="1" x14ac:dyDescent="0.25">
      <c r="E221" s="91"/>
    </row>
    <row r="222" spans="1:5" s="42" customFormat="1" x14ac:dyDescent="0.25">
      <c r="E222" s="91"/>
    </row>
    <row r="223" spans="1:5" s="42" customFormat="1" x14ac:dyDescent="0.25">
      <c r="E223" s="91"/>
    </row>
    <row r="224" spans="1:5" s="42" customFormat="1" x14ac:dyDescent="0.25">
      <c r="E224" s="91"/>
    </row>
    <row r="225" spans="5:5" s="42" customFormat="1" x14ac:dyDescent="0.25">
      <c r="E225" s="91"/>
    </row>
    <row r="226" spans="5:5" s="42" customFormat="1" x14ac:dyDescent="0.25">
      <c r="E226" s="91"/>
    </row>
    <row r="227" spans="5:5" s="42" customFormat="1" x14ac:dyDescent="0.25">
      <c r="E227" s="91"/>
    </row>
    <row r="228" spans="5:5" s="42" customFormat="1" x14ac:dyDescent="0.25">
      <c r="E228" s="91"/>
    </row>
    <row r="229" spans="5:5" s="42" customFormat="1" x14ac:dyDescent="0.25">
      <c r="E229" s="91"/>
    </row>
    <row r="230" spans="5:5" s="42" customFormat="1" x14ac:dyDescent="0.25">
      <c r="E230" s="91"/>
    </row>
    <row r="231" spans="5:5" s="42" customFormat="1" x14ac:dyDescent="0.25">
      <c r="E231" s="91"/>
    </row>
    <row r="232" spans="5:5" s="42" customFormat="1" x14ac:dyDescent="0.25">
      <c r="E232" s="91"/>
    </row>
    <row r="233" spans="5:5" s="42" customFormat="1" x14ac:dyDescent="0.25">
      <c r="E233" s="91"/>
    </row>
    <row r="234" spans="5:5" s="42" customFormat="1" x14ac:dyDescent="0.25">
      <c r="E234" s="91"/>
    </row>
    <row r="235" spans="5:5" s="42" customFormat="1" x14ac:dyDescent="0.25">
      <c r="E235" s="91"/>
    </row>
    <row r="236" spans="5:5" s="42" customFormat="1" x14ac:dyDescent="0.25">
      <c r="E236" s="91"/>
    </row>
    <row r="237" spans="5:5" s="42" customFormat="1" x14ac:dyDescent="0.25">
      <c r="E237" s="91"/>
    </row>
    <row r="238" spans="5:5" s="42" customFormat="1" x14ac:dyDescent="0.25">
      <c r="E238" s="91"/>
    </row>
    <row r="239" spans="5:5" s="42" customFormat="1" x14ac:dyDescent="0.25">
      <c r="E239" s="91"/>
    </row>
    <row r="240" spans="5:5" s="42" customFormat="1" x14ac:dyDescent="0.25">
      <c r="E240" s="91"/>
    </row>
    <row r="241" spans="5:5" s="42" customFormat="1" x14ac:dyDescent="0.25">
      <c r="E241" s="91"/>
    </row>
    <row r="242" spans="5:5" s="42" customFormat="1" x14ac:dyDescent="0.25">
      <c r="E242" s="91"/>
    </row>
    <row r="243" spans="5:5" s="42" customFormat="1" x14ac:dyDescent="0.25">
      <c r="E243" s="91"/>
    </row>
    <row r="244" spans="5:5" s="42" customFormat="1" x14ac:dyDescent="0.25">
      <c r="E244" s="91"/>
    </row>
    <row r="245" spans="5:5" s="42" customFormat="1" x14ac:dyDescent="0.25">
      <c r="E245" s="91"/>
    </row>
    <row r="246" spans="5:5" s="42" customFormat="1" x14ac:dyDescent="0.25">
      <c r="E246" s="91"/>
    </row>
    <row r="247" spans="5:5" s="42" customFormat="1" x14ac:dyDescent="0.25">
      <c r="E247" s="91"/>
    </row>
    <row r="248" spans="5:5" s="42" customFormat="1" x14ac:dyDescent="0.25">
      <c r="E248" s="91"/>
    </row>
    <row r="249" spans="5:5" s="42" customFormat="1" x14ac:dyDescent="0.25">
      <c r="E249" s="91"/>
    </row>
    <row r="250" spans="5:5" s="42" customFormat="1" x14ac:dyDescent="0.25">
      <c r="E250" s="91"/>
    </row>
    <row r="251" spans="5:5" s="42" customFormat="1" x14ac:dyDescent="0.25">
      <c r="E251" s="91"/>
    </row>
    <row r="252" spans="5:5" s="42" customFormat="1" x14ac:dyDescent="0.25">
      <c r="E252" s="91"/>
    </row>
    <row r="253" spans="5:5" s="42" customFormat="1" x14ac:dyDescent="0.25">
      <c r="E253" s="91"/>
    </row>
    <row r="254" spans="5:5" s="42" customFormat="1" x14ac:dyDescent="0.25">
      <c r="E254" s="91"/>
    </row>
    <row r="255" spans="5:5" s="42" customFormat="1" x14ac:dyDescent="0.25">
      <c r="E255" s="91"/>
    </row>
    <row r="256" spans="5:5" s="42" customFormat="1" x14ac:dyDescent="0.25">
      <c r="E256" s="91"/>
    </row>
    <row r="257" spans="5:5" s="42" customFormat="1" x14ac:dyDescent="0.25">
      <c r="E257" s="91"/>
    </row>
    <row r="258" spans="5:5" s="42" customFormat="1" x14ac:dyDescent="0.25">
      <c r="E258" s="91"/>
    </row>
    <row r="259" spans="5:5" s="42" customFormat="1" x14ac:dyDescent="0.25">
      <c r="E259" s="91"/>
    </row>
    <row r="260" spans="5:5" s="42" customFormat="1" x14ac:dyDescent="0.25">
      <c r="E260" s="91"/>
    </row>
    <row r="261" spans="5:5" s="42" customFormat="1" x14ac:dyDescent="0.25">
      <c r="E261" s="91"/>
    </row>
    <row r="262" spans="5:5" s="42" customFormat="1" x14ac:dyDescent="0.25">
      <c r="E262" s="91"/>
    </row>
    <row r="263" spans="5:5" s="42" customFormat="1" x14ac:dyDescent="0.25">
      <c r="E263" s="91"/>
    </row>
    <row r="264" spans="5:5" s="42" customFormat="1" x14ac:dyDescent="0.25">
      <c r="E264" s="91"/>
    </row>
    <row r="265" spans="5:5" s="42" customFormat="1" x14ac:dyDescent="0.25">
      <c r="E265" s="91"/>
    </row>
    <row r="266" spans="5:5" s="42" customFormat="1" x14ac:dyDescent="0.25">
      <c r="E266" s="91"/>
    </row>
    <row r="267" spans="5:5" s="42" customFormat="1" x14ac:dyDescent="0.25">
      <c r="E267" s="91"/>
    </row>
    <row r="268" spans="5:5" s="42" customFormat="1" x14ac:dyDescent="0.25">
      <c r="E268" s="91"/>
    </row>
    <row r="269" spans="5:5" s="42" customFormat="1" x14ac:dyDescent="0.25">
      <c r="E269" s="91"/>
    </row>
    <row r="270" spans="5:5" s="42" customFormat="1" x14ac:dyDescent="0.25">
      <c r="E270" s="91"/>
    </row>
    <row r="271" spans="5:5" s="42" customFormat="1" x14ac:dyDescent="0.25">
      <c r="E271" s="91"/>
    </row>
    <row r="272" spans="5:5" s="42" customFormat="1" x14ac:dyDescent="0.25">
      <c r="E272" s="91"/>
    </row>
    <row r="273" spans="5:5" s="42" customFormat="1" x14ac:dyDescent="0.25">
      <c r="E273" s="91"/>
    </row>
    <row r="274" spans="5:5" s="42" customFormat="1" x14ac:dyDescent="0.25">
      <c r="E274" s="91"/>
    </row>
    <row r="275" spans="5:5" s="42" customFormat="1" x14ac:dyDescent="0.25">
      <c r="E275" s="91"/>
    </row>
    <row r="276" spans="5:5" s="42" customFormat="1" x14ac:dyDescent="0.25">
      <c r="E276" s="91"/>
    </row>
    <row r="277" spans="5:5" s="42" customFormat="1" x14ac:dyDescent="0.25">
      <c r="E277" s="91"/>
    </row>
    <row r="278" spans="5:5" s="42" customFormat="1" x14ac:dyDescent="0.25">
      <c r="E278" s="91"/>
    </row>
    <row r="279" spans="5:5" s="42" customFormat="1" x14ac:dyDescent="0.25">
      <c r="E279" s="91"/>
    </row>
    <row r="280" spans="5:5" s="42" customFormat="1" x14ac:dyDescent="0.25">
      <c r="E280" s="91"/>
    </row>
    <row r="281" spans="5:5" s="42" customFormat="1" x14ac:dyDescent="0.25">
      <c r="E281" s="91"/>
    </row>
    <row r="282" spans="5:5" s="42" customFormat="1" x14ac:dyDescent="0.25">
      <c r="E282" s="91"/>
    </row>
    <row r="283" spans="5:5" s="42" customFormat="1" x14ac:dyDescent="0.25">
      <c r="E283" s="91"/>
    </row>
    <row r="284" spans="5:5" s="42" customFormat="1" x14ac:dyDescent="0.25">
      <c r="E284" s="91"/>
    </row>
    <row r="285" spans="5:5" s="42" customFormat="1" x14ac:dyDescent="0.25">
      <c r="E285" s="91"/>
    </row>
    <row r="286" spans="5:5" s="42" customFormat="1" x14ac:dyDescent="0.25">
      <c r="E286" s="91"/>
    </row>
    <row r="287" spans="5:5" s="42" customFormat="1" x14ac:dyDescent="0.25">
      <c r="E287" s="91"/>
    </row>
    <row r="288" spans="5:5" s="42" customFormat="1" x14ac:dyDescent="0.25">
      <c r="E288" s="91"/>
    </row>
    <row r="289" spans="5:5" s="42" customFormat="1" x14ac:dyDescent="0.25">
      <c r="E289" s="91"/>
    </row>
    <row r="290" spans="5:5" s="42" customFormat="1" x14ac:dyDescent="0.25">
      <c r="E290" s="91"/>
    </row>
    <row r="291" spans="5:5" s="42" customFormat="1" x14ac:dyDescent="0.25">
      <c r="E291" s="91"/>
    </row>
    <row r="292" spans="5:5" s="42" customFormat="1" x14ac:dyDescent="0.25">
      <c r="E292" s="91"/>
    </row>
    <row r="293" spans="5:5" s="42" customFormat="1" x14ac:dyDescent="0.25">
      <c r="E293" s="91"/>
    </row>
    <row r="294" spans="5:5" s="42" customFormat="1" x14ac:dyDescent="0.25">
      <c r="E294" s="91"/>
    </row>
    <row r="295" spans="5:5" s="42" customFormat="1" x14ac:dyDescent="0.25">
      <c r="E295" s="91"/>
    </row>
    <row r="296" spans="5:5" s="42" customFormat="1" x14ac:dyDescent="0.25">
      <c r="E296" s="91"/>
    </row>
    <row r="297" spans="5:5" s="42" customFormat="1" x14ac:dyDescent="0.25">
      <c r="E297" s="91"/>
    </row>
    <row r="298" spans="5:5" s="42" customFormat="1" x14ac:dyDescent="0.25">
      <c r="E298" s="91"/>
    </row>
    <row r="299" spans="5:5" s="42" customFormat="1" x14ac:dyDescent="0.25">
      <c r="E299" s="91"/>
    </row>
    <row r="300" spans="5:5" s="42" customFormat="1" x14ac:dyDescent="0.25">
      <c r="E300" s="91"/>
    </row>
    <row r="301" spans="5:5" s="42" customFormat="1" x14ac:dyDescent="0.25">
      <c r="E301" s="91"/>
    </row>
    <row r="302" spans="5:5" s="42" customFormat="1" x14ac:dyDescent="0.25">
      <c r="E302" s="91"/>
    </row>
    <row r="303" spans="5:5" s="42" customFormat="1" x14ac:dyDescent="0.25">
      <c r="E303" s="91"/>
    </row>
    <row r="304" spans="5:5" s="42" customFormat="1" x14ac:dyDescent="0.25">
      <c r="E304" s="91"/>
    </row>
    <row r="305" spans="5:5" s="42" customFormat="1" x14ac:dyDescent="0.25">
      <c r="E305" s="91"/>
    </row>
    <row r="306" spans="5:5" s="42" customFormat="1" x14ac:dyDescent="0.25">
      <c r="E306" s="91"/>
    </row>
    <row r="307" spans="5:5" s="42" customFormat="1" x14ac:dyDescent="0.25">
      <c r="E307" s="91"/>
    </row>
    <row r="308" spans="5:5" s="42" customFormat="1" x14ac:dyDescent="0.25">
      <c r="E308" s="91"/>
    </row>
    <row r="309" spans="5:5" s="42" customFormat="1" x14ac:dyDescent="0.25">
      <c r="E309" s="91"/>
    </row>
    <row r="310" spans="5:5" s="42" customFormat="1" x14ac:dyDescent="0.25">
      <c r="E310" s="91"/>
    </row>
    <row r="311" spans="5:5" s="42" customFormat="1" x14ac:dyDescent="0.25">
      <c r="E311" s="91"/>
    </row>
    <row r="312" spans="5:5" s="42" customFormat="1" x14ac:dyDescent="0.25">
      <c r="E312" s="91"/>
    </row>
    <row r="313" spans="5:5" s="42" customFormat="1" x14ac:dyDescent="0.25">
      <c r="E313" s="91"/>
    </row>
    <row r="314" spans="5:5" s="42" customFormat="1" x14ac:dyDescent="0.25">
      <c r="E314" s="91"/>
    </row>
    <row r="315" spans="5:5" s="42" customFormat="1" x14ac:dyDescent="0.25">
      <c r="E315" s="91"/>
    </row>
    <row r="316" spans="5:5" s="42" customFormat="1" x14ac:dyDescent="0.25">
      <c r="E316" s="91"/>
    </row>
    <row r="317" spans="5:5" s="42" customFormat="1" x14ac:dyDescent="0.25">
      <c r="E317" s="91"/>
    </row>
    <row r="318" spans="5:5" s="42" customFormat="1" x14ac:dyDescent="0.25">
      <c r="E318" s="91"/>
    </row>
    <row r="319" spans="5:5" s="42" customFormat="1" x14ac:dyDescent="0.25">
      <c r="E319" s="91"/>
    </row>
    <row r="320" spans="5:5" s="42" customFormat="1" x14ac:dyDescent="0.25">
      <c r="E320" s="91"/>
    </row>
    <row r="321" spans="5:5" s="42" customFormat="1" x14ac:dyDescent="0.25">
      <c r="E321" s="91"/>
    </row>
    <row r="322" spans="5:5" s="42" customFormat="1" x14ac:dyDescent="0.25">
      <c r="E322" s="91"/>
    </row>
    <row r="323" spans="5:5" s="42" customFormat="1" x14ac:dyDescent="0.25">
      <c r="E323" s="91"/>
    </row>
    <row r="324" spans="5:5" s="42" customFormat="1" x14ac:dyDescent="0.25">
      <c r="E324" s="91"/>
    </row>
    <row r="325" spans="5:5" s="42" customFormat="1" x14ac:dyDescent="0.25">
      <c r="E325" s="91"/>
    </row>
    <row r="326" spans="5:5" s="42" customFormat="1" x14ac:dyDescent="0.25">
      <c r="E326" s="91"/>
    </row>
    <row r="327" spans="5:5" s="42" customFormat="1" x14ac:dyDescent="0.25">
      <c r="E327" s="91"/>
    </row>
    <row r="328" spans="5:5" s="42" customFormat="1" x14ac:dyDescent="0.25">
      <c r="E328" s="91"/>
    </row>
    <row r="329" spans="5:5" s="42" customFormat="1" x14ac:dyDescent="0.25">
      <c r="E329" s="91"/>
    </row>
    <row r="330" spans="5:5" s="42" customFormat="1" x14ac:dyDescent="0.25">
      <c r="E330" s="91"/>
    </row>
    <row r="331" spans="5:5" s="42" customFormat="1" x14ac:dyDescent="0.25">
      <c r="E331" s="91"/>
    </row>
    <row r="332" spans="5:5" s="42" customFormat="1" x14ac:dyDescent="0.25">
      <c r="E332" s="91"/>
    </row>
    <row r="333" spans="5:5" s="42" customFormat="1" x14ac:dyDescent="0.25">
      <c r="E333" s="91"/>
    </row>
    <row r="334" spans="5:5" s="42" customFormat="1" x14ac:dyDescent="0.25">
      <c r="E334" s="91"/>
    </row>
    <row r="335" spans="5:5" s="42" customFormat="1" x14ac:dyDescent="0.25">
      <c r="E335" s="91"/>
    </row>
    <row r="336" spans="5:5" s="42" customFormat="1" x14ac:dyDescent="0.25">
      <c r="E336" s="91"/>
    </row>
    <row r="337" spans="5:5" s="42" customFormat="1" x14ac:dyDescent="0.25">
      <c r="E337" s="91"/>
    </row>
    <row r="338" spans="5:5" s="42" customFormat="1" x14ac:dyDescent="0.25">
      <c r="E338" s="91"/>
    </row>
    <row r="339" spans="5:5" s="42" customFormat="1" x14ac:dyDescent="0.25">
      <c r="E339" s="91"/>
    </row>
    <row r="340" spans="5:5" s="42" customFormat="1" x14ac:dyDescent="0.25">
      <c r="E340" s="91"/>
    </row>
    <row r="341" spans="5:5" s="42" customFormat="1" x14ac:dyDescent="0.25">
      <c r="E341" s="91"/>
    </row>
    <row r="342" spans="5:5" s="42" customFormat="1" x14ac:dyDescent="0.25">
      <c r="E342" s="91"/>
    </row>
    <row r="343" spans="5:5" s="42" customFormat="1" x14ac:dyDescent="0.25">
      <c r="E343" s="91"/>
    </row>
    <row r="344" spans="5:5" s="42" customFormat="1" x14ac:dyDescent="0.25">
      <c r="E344" s="91"/>
    </row>
    <row r="345" spans="5:5" s="42" customFormat="1" x14ac:dyDescent="0.25">
      <c r="E345" s="91"/>
    </row>
    <row r="346" spans="5:5" s="42" customFormat="1" x14ac:dyDescent="0.25">
      <c r="E346" s="91"/>
    </row>
    <row r="347" spans="5:5" s="42" customFormat="1" x14ac:dyDescent="0.25">
      <c r="E347" s="91"/>
    </row>
    <row r="348" spans="5:5" s="42" customFormat="1" x14ac:dyDescent="0.25">
      <c r="E348" s="91"/>
    </row>
    <row r="349" spans="5:5" s="42" customFormat="1" x14ac:dyDescent="0.25">
      <c r="E349" s="91"/>
    </row>
    <row r="350" spans="5:5" s="42" customFormat="1" x14ac:dyDescent="0.25">
      <c r="E350" s="91"/>
    </row>
    <row r="351" spans="5:5" s="42" customFormat="1" x14ac:dyDescent="0.25">
      <c r="E351" s="91"/>
    </row>
    <row r="352" spans="5:5" s="42" customFormat="1" x14ac:dyDescent="0.25">
      <c r="E352" s="91"/>
    </row>
    <row r="353" spans="5:5" s="42" customFormat="1" x14ac:dyDescent="0.25">
      <c r="E353" s="91"/>
    </row>
    <row r="354" spans="5:5" s="42" customFormat="1" x14ac:dyDescent="0.25">
      <c r="E354" s="91"/>
    </row>
    <row r="355" spans="5:5" s="42" customFormat="1" x14ac:dyDescent="0.25">
      <c r="E355" s="91"/>
    </row>
  </sheetData>
  <mergeCells count="4">
    <mergeCell ref="A7:B7"/>
    <mergeCell ref="A140:B140"/>
    <mergeCell ref="A1:E1"/>
    <mergeCell ref="A3:E3"/>
  </mergeCells>
  <pageMargins left="0.7" right="0.7" top="0.75" bottom="0.75" header="0.3" footer="0.3"/>
  <pageSetup paperSize="9" scale="70" orientation="portrait" horizontalDpi="0" verticalDpi="0" r:id="rId1"/>
  <rowBreaks count="4" manualBreakCount="4">
    <brk id="58" max="16383" man="1"/>
    <brk id="117" max="16383" man="1"/>
    <brk id="155" max="4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2024-03-25T10:34:55Z</cp:lastPrinted>
  <dcterms:created xsi:type="dcterms:W3CDTF">2022-08-12T12:51:27Z</dcterms:created>
  <dcterms:modified xsi:type="dcterms:W3CDTF">2024-03-28T11:17:14Z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