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ANCIJE\FINANCIJE 2025\IZVJEŠTAJ O IZVRŠENJU FINANCIJSKOG PLANA 2025\IZVRŠENJE FINANCIJSKOG PLANA 30062025\"/>
    </mc:Choice>
  </mc:AlternateContent>
  <bookViews>
    <workbookView xWindow="0" yWindow="0" windowWidth="28800" windowHeight="12330" activeTab="4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10" r:id="rId5"/>
  </sheets>
  <definedNames>
    <definedName name="_xlnm.Print_Area" localSheetId="1">' Račun prihoda i rashoda'!$B$1:$K$100</definedName>
    <definedName name="_xlnm.Print_Area" localSheetId="4">'POSEBNI DIO'!$A$1:$E$209</definedName>
    <definedName name="_xlnm.Print_Area" localSheetId="2">'Rashodi prema izvorima finan'!$A$1:$G$44</definedName>
    <definedName name="_xlnm.Print_Area" localSheetId="0">SAŽETAK!$A$1:$K$31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0" l="1"/>
  <c r="C5" i="10"/>
  <c r="D36" i="10"/>
  <c r="E36" i="10" s="1"/>
  <c r="C36" i="10"/>
  <c r="E35" i="10"/>
  <c r="D175" i="10"/>
  <c r="C175" i="10"/>
  <c r="E174" i="10"/>
  <c r="D147" i="10"/>
  <c r="C147" i="10"/>
  <c r="E146" i="10"/>
  <c r="E101" i="10"/>
  <c r="C103" i="10"/>
  <c r="D103" i="10"/>
  <c r="E43" i="10"/>
  <c r="D95" i="10"/>
  <c r="E91" i="10"/>
  <c r="C92" i="10"/>
  <c r="D44" i="10"/>
  <c r="E175" i="10" l="1"/>
  <c r="E147" i="10"/>
  <c r="E9" i="8"/>
  <c r="D9" i="8"/>
  <c r="I60" i="3" l="1"/>
  <c r="I59" i="3"/>
  <c r="I54" i="3"/>
  <c r="I56" i="3"/>
  <c r="I55" i="3"/>
  <c r="I51" i="3"/>
  <c r="I49" i="3"/>
  <c r="I47" i="3"/>
  <c r="E38" i="5"/>
  <c r="E36" i="5"/>
  <c r="E35" i="5"/>
  <c r="E34" i="5"/>
  <c r="E32" i="5"/>
  <c r="E29" i="5"/>
  <c r="E28" i="5"/>
  <c r="I90" i="3"/>
  <c r="I99" i="3"/>
  <c r="I86" i="3"/>
  <c r="I87" i="3"/>
  <c r="I82" i="3"/>
  <c r="I83" i="3"/>
  <c r="I84" i="3"/>
  <c r="I74" i="3"/>
  <c r="I81" i="3"/>
  <c r="I79" i="3"/>
  <c r="I78" i="3"/>
  <c r="I76" i="3"/>
  <c r="I65" i="3"/>
  <c r="I72" i="3"/>
  <c r="I71" i="3"/>
  <c r="I70" i="3"/>
  <c r="I69" i="3"/>
  <c r="I68" i="3"/>
  <c r="I67" i="3"/>
  <c r="I66" i="3"/>
  <c r="I58" i="3"/>
  <c r="I53" i="3" s="1"/>
  <c r="I63" i="3"/>
  <c r="I62" i="3"/>
  <c r="I61" i="3"/>
  <c r="I57" i="3"/>
  <c r="I45" i="3"/>
  <c r="I50" i="3"/>
  <c r="I48" i="3"/>
  <c r="I46" i="3"/>
  <c r="I36" i="3"/>
  <c r="I29" i="3"/>
  <c r="I12" i="3"/>
  <c r="I28" i="3"/>
  <c r="I22" i="3"/>
  <c r="I25" i="3"/>
  <c r="I23" i="3"/>
  <c r="I19" i="3"/>
  <c r="I20" i="3"/>
  <c r="I13" i="3"/>
  <c r="D35" i="5" l="1"/>
  <c r="D37" i="5"/>
  <c r="D39" i="5"/>
  <c r="D38" i="5"/>
  <c r="D32" i="5"/>
  <c r="D36" i="5"/>
  <c r="D18" i="5"/>
  <c r="C26" i="5"/>
  <c r="C7" i="5"/>
  <c r="H81" i="3"/>
  <c r="H74" i="3" s="1"/>
  <c r="H53" i="3" s="1"/>
  <c r="H44" i="3" s="1"/>
  <c r="H90" i="3"/>
  <c r="H91" i="3"/>
  <c r="H97" i="3"/>
  <c r="H98" i="3"/>
  <c r="H94" i="3"/>
  <c r="H92" i="3"/>
  <c r="H86" i="3"/>
  <c r="H87" i="3"/>
  <c r="H82" i="3"/>
  <c r="H83" i="3"/>
  <c r="H84" i="3"/>
  <c r="H79" i="3"/>
  <c r="H78" i="3"/>
  <c r="H76" i="3"/>
  <c r="H65" i="3"/>
  <c r="H73" i="3"/>
  <c r="H72" i="3"/>
  <c r="H70" i="3"/>
  <c r="H69" i="3"/>
  <c r="H68" i="3"/>
  <c r="H67" i="3"/>
  <c r="H66" i="3"/>
  <c r="H58" i="3"/>
  <c r="H63" i="3"/>
  <c r="H62" i="3"/>
  <c r="H61" i="3"/>
  <c r="H60" i="3"/>
  <c r="H59" i="3"/>
  <c r="H54" i="3"/>
  <c r="H57" i="3"/>
  <c r="H56" i="3"/>
  <c r="H55" i="3"/>
  <c r="H45" i="3"/>
  <c r="H50" i="3"/>
  <c r="H51" i="3"/>
  <c r="H48" i="3"/>
  <c r="H49" i="3"/>
  <c r="H46" i="3"/>
  <c r="H47" i="3"/>
  <c r="H22" i="3"/>
  <c r="H11" i="3" s="1"/>
  <c r="H15" i="3"/>
  <c r="H14" i="3"/>
  <c r="H37" i="3"/>
  <c r="H28" i="3"/>
  <c r="H29" i="3"/>
  <c r="G12" i="3"/>
  <c r="H25" i="3"/>
  <c r="H23" i="3"/>
  <c r="H19" i="3"/>
  <c r="H20" i="3"/>
  <c r="H12" i="3"/>
  <c r="H16" i="3"/>
  <c r="H13" i="3"/>
  <c r="G43" i="3"/>
  <c r="G90" i="3"/>
  <c r="G99" i="3"/>
  <c r="G97" i="3"/>
  <c r="G91" i="3"/>
  <c r="G44" i="3"/>
  <c r="G86" i="3"/>
  <c r="G87" i="3"/>
  <c r="G53" i="3"/>
  <c r="G45" i="3"/>
  <c r="G82" i="3"/>
  <c r="G83" i="3"/>
  <c r="G74" i="3"/>
  <c r="G65" i="3"/>
  <c r="G58" i="3"/>
  <c r="G54" i="3"/>
  <c r="G50" i="3"/>
  <c r="G48" i="3"/>
  <c r="G46" i="3"/>
  <c r="G10" i="3"/>
  <c r="G36" i="3"/>
  <c r="G28" i="3"/>
  <c r="G29" i="3"/>
  <c r="G22" i="3"/>
  <c r="G25" i="3"/>
  <c r="G23" i="3"/>
  <c r="G19" i="3"/>
  <c r="G20" i="3"/>
  <c r="G13" i="3"/>
  <c r="G16" i="3"/>
  <c r="G19" i="1"/>
  <c r="E206" i="10" l="1"/>
  <c r="D207" i="10"/>
  <c r="C207" i="10"/>
  <c r="E205" i="10"/>
  <c r="D184" i="10"/>
  <c r="D193" i="10"/>
  <c r="E183" i="10"/>
  <c r="E182" i="10"/>
  <c r="E110" i="10"/>
  <c r="E94" i="10"/>
  <c r="C95" i="10"/>
  <c r="D58" i="10"/>
  <c r="C58" i="10"/>
  <c r="E57" i="10"/>
  <c r="E64" i="10"/>
  <c r="E65" i="10"/>
  <c r="E207" i="10" l="1"/>
  <c r="E184" i="10"/>
  <c r="E58" i="10"/>
  <c r="J77" i="3" l="1"/>
  <c r="I19" i="1"/>
  <c r="I16" i="1"/>
  <c r="H19" i="1"/>
  <c r="H16" i="1"/>
  <c r="G16" i="1"/>
  <c r="I20" i="1" l="1"/>
  <c r="H20" i="1"/>
  <c r="G20" i="1"/>
  <c r="C200" i="10" l="1"/>
  <c r="C193" i="10"/>
  <c r="D133" i="10"/>
  <c r="C133" i="10"/>
  <c r="E132" i="10"/>
  <c r="D127" i="10"/>
  <c r="C127" i="10"/>
  <c r="D120" i="10"/>
  <c r="C120" i="10"/>
  <c r="E119" i="10"/>
  <c r="E118" i="10"/>
  <c r="E100" i="10"/>
  <c r="D51" i="10"/>
  <c r="C51" i="10"/>
  <c r="E50" i="10"/>
  <c r="E11" i="10"/>
  <c r="C177" i="10" l="1"/>
  <c r="E51" i="10"/>
  <c r="E133" i="10"/>
  <c r="G8" i="8"/>
  <c r="G9" i="8"/>
  <c r="D7" i="8"/>
  <c r="G8" i="5" l="1"/>
  <c r="G9" i="5"/>
  <c r="G10" i="5"/>
  <c r="G12" i="5"/>
  <c r="G14" i="5"/>
  <c r="G15" i="5"/>
  <c r="G16" i="5"/>
  <c r="G18" i="5"/>
  <c r="G19" i="5"/>
  <c r="G20" i="5"/>
  <c r="G22" i="5"/>
  <c r="G24" i="5"/>
  <c r="G28" i="5"/>
  <c r="G29" i="5"/>
  <c r="G30" i="5"/>
  <c r="G32" i="5"/>
  <c r="G34" i="5"/>
  <c r="G35" i="5"/>
  <c r="G36" i="5"/>
  <c r="G38" i="5"/>
  <c r="G39" i="5"/>
  <c r="G40" i="5"/>
  <c r="G42" i="5"/>
  <c r="G44" i="5"/>
  <c r="E17" i="5"/>
  <c r="E13" i="5"/>
  <c r="E7" i="5"/>
  <c r="E23" i="5"/>
  <c r="G23" i="5" s="1"/>
  <c r="F28" i="5"/>
  <c r="F29" i="5"/>
  <c r="F30" i="5"/>
  <c r="F32" i="5"/>
  <c r="F34" i="5"/>
  <c r="F35" i="5"/>
  <c r="F36" i="5"/>
  <c r="F38" i="5"/>
  <c r="F39" i="5"/>
  <c r="F40" i="5"/>
  <c r="F42" i="5"/>
  <c r="F44" i="5"/>
  <c r="E37" i="5"/>
  <c r="E43" i="5"/>
  <c r="E27" i="5"/>
  <c r="D27" i="5"/>
  <c r="C27" i="5"/>
  <c r="E41" i="5"/>
  <c r="G41" i="5" s="1"/>
  <c r="D41" i="5"/>
  <c r="C41" i="5"/>
  <c r="D43" i="5"/>
  <c r="D23" i="5"/>
  <c r="D21" i="5"/>
  <c r="D17" i="5"/>
  <c r="D7" i="5"/>
  <c r="G43" i="5" l="1"/>
  <c r="G27" i="5"/>
  <c r="G17" i="5"/>
  <c r="G7" i="5"/>
  <c r="F41" i="5"/>
  <c r="K38" i="3"/>
  <c r="J38" i="3"/>
  <c r="K45" i="3"/>
  <c r="K46" i="3"/>
  <c r="K47" i="3"/>
  <c r="K48" i="3"/>
  <c r="K49" i="3"/>
  <c r="K50" i="3"/>
  <c r="K51" i="3"/>
  <c r="K52" i="3"/>
  <c r="K54" i="3"/>
  <c r="K55" i="3"/>
  <c r="K56" i="3"/>
  <c r="K57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5" i="3"/>
  <c r="K76" i="3"/>
  <c r="K78" i="3"/>
  <c r="K79" i="3"/>
  <c r="K80" i="3"/>
  <c r="K81" i="3"/>
  <c r="K82" i="3"/>
  <c r="K83" i="3"/>
  <c r="K84" i="3"/>
  <c r="K85" i="3"/>
  <c r="K86" i="3"/>
  <c r="K87" i="3"/>
  <c r="K88" i="3"/>
  <c r="K92" i="3"/>
  <c r="K93" i="3"/>
  <c r="K94" i="3"/>
  <c r="K95" i="3"/>
  <c r="K96" i="3"/>
  <c r="K97" i="3"/>
  <c r="K98" i="3"/>
  <c r="K99" i="3"/>
  <c r="K100" i="3"/>
  <c r="J45" i="3"/>
  <c r="J46" i="3"/>
  <c r="J47" i="3"/>
  <c r="J48" i="3"/>
  <c r="J49" i="3"/>
  <c r="J50" i="3"/>
  <c r="J51" i="3"/>
  <c r="J52" i="3"/>
  <c r="J54" i="3"/>
  <c r="J55" i="3"/>
  <c r="J56" i="3"/>
  <c r="J57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5" i="3"/>
  <c r="J76" i="3"/>
  <c r="J78" i="3"/>
  <c r="J79" i="3"/>
  <c r="J80" i="3"/>
  <c r="J81" i="3"/>
  <c r="J83" i="3"/>
  <c r="J84" i="3"/>
  <c r="J85" i="3"/>
  <c r="J86" i="3"/>
  <c r="J87" i="3"/>
  <c r="J88" i="3"/>
  <c r="J92" i="3"/>
  <c r="J93" i="3"/>
  <c r="J94" i="3"/>
  <c r="J95" i="3"/>
  <c r="J96" i="3"/>
  <c r="J97" i="3"/>
  <c r="J98" i="3"/>
  <c r="J99" i="3"/>
  <c r="J100" i="3"/>
  <c r="K91" i="3"/>
  <c r="J82" i="3"/>
  <c r="J58" i="3"/>
  <c r="K12" i="3"/>
  <c r="K13" i="3"/>
  <c r="K14" i="3"/>
  <c r="K15" i="3"/>
  <c r="K16" i="3"/>
  <c r="K17" i="3"/>
  <c r="K18" i="3"/>
  <c r="K21" i="3"/>
  <c r="K22" i="3"/>
  <c r="K23" i="3"/>
  <c r="K24" i="3"/>
  <c r="K25" i="3"/>
  <c r="K26" i="3"/>
  <c r="K27" i="3"/>
  <c r="K28" i="3"/>
  <c r="K29" i="3"/>
  <c r="K30" i="3"/>
  <c r="K31" i="3"/>
  <c r="K33" i="3"/>
  <c r="K34" i="3"/>
  <c r="K35" i="3"/>
  <c r="K37" i="3"/>
  <c r="K39" i="3"/>
  <c r="J12" i="3"/>
  <c r="J13" i="3"/>
  <c r="J14" i="3"/>
  <c r="J15" i="3"/>
  <c r="J16" i="3"/>
  <c r="J17" i="3"/>
  <c r="J18" i="3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5" i="3"/>
  <c r="J37" i="3"/>
  <c r="J39" i="3"/>
  <c r="J91" i="3" l="1"/>
  <c r="K58" i="3"/>
  <c r="K74" i="3"/>
  <c r="H32" i="3"/>
  <c r="K32" i="3" s="1"/>
  <c r="K19" i="3"/>
  <c r="J74" i="3"/>
  <c r="K53" i="3" l="1"/>
  <c r="K20" i="3"/>
  <c r="I89" i="3"/>
  <c r="J90" i="3"/>
  <c r="K90" i="3"/>
  <c r="J53" i="3"/>
  <c r="J20" i="3"/>
  <c r="J19" i="3" l="1"/>
  <c r="K15" i="1" l="1"/>
  <c r="K16" i="1"/>
  <c r="K17" i="1"/>
  <c r="K18" i="1"/>
  <c r="K19" i="1"/>
  <c r="K20" i="1"/>
  <c r="K14" i="1"/>
  <c r="J15" i="1"/>
  <c r="J16" i="1"/>
  <c r="J17" i="1"/>
  <c r="J18" i="1"/>
  <c r="J19" i="1"/>
  <c r="J20" i="1"/>
  <c r="J14" i="1"/>
  <c r="H36" i="3"/>
  <c r="E189" i="10"/>
  <c r="E190" i="10"/>
  <c r="E191" i="10"/>
  <c r="E192" i="10"/>
  <c r="E199" i="10"/>
  <c r="E198" i="10"/>
  <c r="D200" i="10"/>
  <c r="D177" i="10" s="1"/>
  <c r="E113" i="10"/>
  <c r="E167" i="10"/>
  <c r="D168" i="10"/>
  <c r="C168" i="10"/>
  <c r="D161" i="10"/>
  <c r="C161" i="10"/>
  <c r="E160" i="10"/>
  <c r="E153" i="10"/>
  <c r="D154" i="10"/>
  <c r="C154" i="10"/>
  <c r="E139" i="10"/>
  <c r="D140" i="10"/>
  <c r="C140" i="10"/>
  <c r="E126" i="10"/>
  <c r="E125" i="10"/>
  <c r="E109" i="10"/>
  <c r="E111" i="10"/>
  <c r="E112" i="10"/>
  <c r="E114" i="10"/>
  <c r="E115" i="10"/>
  <c r="E116" i="10"/>
  <c r="E117" i="10"/>
  <c r="E108" i="10"/>
  <c r="E102" i="10"/>
  <c r="E92" i="10"/>
  <c r="E93" i="10"/>
  <c r="E84" i="10"/>
  <c r="D85" i="10"/>
  <c r="C85" i="10"/>
  <c r="E77" i="10"/>
  <c r="D78" i="10"/>
  <c r="D72" i="10" s="1"/>
  <c r="C78" i="10"/>
  <c r="E66" i="10"/>
  <c r="E67" i="10"/>
  <c r="E68" i="10"/>
  <c r="D69" i="10"/>
  <c r="C69" i="10"/>
  <c r="E42" i="10"/>
  <c r="C44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10" i="10"/>
  <c r="C72" i="10" l="1"/>
  <c r="E177" i="10"/>
  <c r="E193" i="10"/>
  <c r="J36" i="3"/>
  <c r="K36" i="3"/>
  <c r="E161" i="10"/>
  <c r="E200" i="10"/>
  <c r="E127" i="10"/>
  <c r="E168" i="10"/>
  <c r="E154" i="10"/>
  <c r="E140" i="10"/>
  <c r="E120" i="10"/>
  <c r="E103" i="10"/>
  <c r="E85" i="10"/>
  <c r="E78" i="10"/>
  <c r="E69" i="10"/>
  <c r="E44" i="10"/>
  <c r="F9" i="8"/>
  <c r="F8" i="8"/>
  <c r="D6" i="8"/>
  <c r="D29" i="10"/>
  <c r="C29" i="10"/>
  <c r="C209" i="10" l="1"/>
  <c r="E5" i="10"/>
  <c r="E29" i="10"/>
  <c r="E7" i="8" l="1"/>
  <c r="G7" i="8" s="1"/>
  <c r="E6" i="8" l="1"/>
  <c r="G6" i="8" s="1"/>
  <c r="C7" i="8"/>
  <c r="F7" i="8" s="1"/>
  <c r="C6" i="8" l="1"/>
  <c r="F6" i="8" s="1"/>
  <c r="F10" i="5"/>
  <c r="F12" i="5"/>
  <c r="F14" i="5"/>
  <c r="F15" i="5"/>
  <c r="F19" i="5"/>
  <c r="F22" i="5"/>
  <c r="F24" i="5"/>
  <c r="E21" i="5"/>
  <c r="G21" i="5" s="1"/>
  <c r="F20" i="5"/>
  <c r="F18" i="5"/>
  <c r="E11" i="5"/>
  <c r="F8" i="5"/>
  <c r="E6" i="5" l="1"/>
  <c r="F16" i="5"/>
  <c r="E33" i="5"/>
  <c r="E31" i="5"/>
  <c r="E26" i="5" l="1"/>
  <c r="G11" i="3"/>
  <c r="D13" i="5" l="1"/>
  <c r="G13" i="5" s="1"/>
  <c r="D11" i="5"/>
  <c r="G11" i="5" s="1"/>
  <c r="C23" i="5"/>
  <c r="F23" i="5" s="1"/>
  <c r="C13" i="5"/>
  <c r="F13" i="5" s="1"/>
  <c r="C17" i="5"/>
  <c r="F17" i="5" s="1"/>
  <c r="C21" i="5"/>
  <c r="F21" i="5" s="1"/>
  <c r="C11" i="5"/>
  <c r="F11" i="5" s="1"/>
  <c r="F7" i="5"/>
  <c r="C31" i="5"/>
  <c r="F31" i="5" l="1"/>
  <c r="D6" i="5"/>
  <c r="G37" i="5"/>
  <c r="D31" i="5"/>
  <c r="F27" i="5"/>
  <c r="D33" i="5"/>
  <c r="G33" i="5" s="1"/>
  <c r="C6" i="5"/>
  <c r="F6" i="5" s="1"/>
  <c r="D26" i="5" l="1"/>
  <c r="G26" i="5" s="1"/>
  <c r="G31" i="5"/>
  <c r="G6" i="5"/>
  <c r="C43" i="5"/>
  <c r="F43" i="5" s="1"/>
  <c r="C37" i="5"/>
  <c r="F37" i="5" s="1"/>
  <c r="C33" i="5" l="1"/>
  <c r="F33" i="5" l="1"/>
  <c r="F26" i="5"/>
  <c r="H89" i="3"/>
  <c r="K89" i="3" s="1"/>
  <c r="G89" i="3" l="1"/>
  <c r="J89" i="3" s="1"/>
  <c r="H10" i="3"/>
  <c r="H43" i="3"/>
  <c r="I11" i="3" l="1"/>
  <c r="I10" i="3" s="1"/>
  <c r="I44" i="3"/>
  <c r="G32" i="3"/>
  <c r="J32" i="3" s="1"/>
  <c r="I43" i="3" l="1"/>
  <c r="K44" i="3"/>
  <c r="J44" i="3"/>
  <c r="J11" i="3"/>
  <c r="K11" i="3"/>
  <c r="J10" i="3" l="1"/>
  <c r="K10" i="3"/>
  <c r="J43" i="3"/>
  <c r="K43" i="3"/>
  <c r="E95" i="10"/>
  <c r="D209" i="10"/>
  <c r="E209" i="10" s="1"/>
  <c r="E72" i="10" l="1"/>
</calcChain>
</file>

<file path=xl/sharedStrings.xml><?xml version="1.0" encoding="utf-8"?>
<sst xmlns="http://schemas.openxmlformats.org/spreadsheetml/2006/main" count="463" uniqueCount="234">
  <si>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</si>
  <si>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</si>
  <si>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</si>
  <si>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</si>
  <si>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</si>
  <si>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</si>
  <si>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</si>
  <si>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</si>
  <si>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</si>
  <si>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</si>
  <si>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</si>
  <si>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</si>
  <si>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1 Opći prihodi i primici</t>
  </si>
  <si>
    <t>11 Opći prihodi i primici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</si>
  <si>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</si>
  <si>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</si>
  <si>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</si>
  <si>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</si>
  <si>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</si>
  <si>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</si>
  <si>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</si>
  <si>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</si>
  <si>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</si>
  <si>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</si>
  <si>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</si>
  <si>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</si>
  <si>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</si>
  <si>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</si>
  <si>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</si>
  <si>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</si>
  <si>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</si>
  <si>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</si>
  <si>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</si>
  <si>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</si>
  <si>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</si>
  <si>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</si>
  <si>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</si>
  <si>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</si>
  <si>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 xml:space="preserve"> RAČUN PRIHODA I RASHODA </t>
  </si>
  <si>
    <t>IZVJEŠTAJ PO PROGRAMSKOJ KLASIFIKACIJI</t>
  </si>
  <si>
    <t>SAŽETAK RAČUNA PRIHODA I RASHODA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</si>
  <si>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</si>
  <si>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</si>
  <si>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</si>
  <si>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</si>
  <si>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</si>
  <si>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SAŽETAK RAČUNA PRIHODA I RASHODA I RAČUNA FINANCIRANJA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</si>
  <si>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</si>
  <si>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</si>
  <si>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</si>
  <si>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</si>
  <si>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 temeljem prijenosa EU sredstava</t>
  </si>
  <si>
    <t>Prihodi od upravnih i administrativnih pristojbi, pristojbi po posebnim propisima i naknadama</t>
  </si>
  <si>
    <t>Prihodi po posebnim propisima</t>
  </si>
  <si>
    <t>Ostali nespomenuti prihodi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</si>
  <si>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</si>
  <si>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</si>
  <si>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</si>
  <si>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</si>
  <si>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</si>
  <si>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</si>
  <si>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</si>
  <si>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</si>
  <si>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</si>
  <si>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za zdravstveno osiguranje</t>
  </si>
  <si>
    <t>Doprinosi za obvezno osiguranje u slučaju nezaposlenosti</t>
  </si>
  <si>
    <t>Naknade za prijevoz, za rad na terenu i odvojeni život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</si>
  <si>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</si>
  <si>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</si>
  <si>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</si>
  <si>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</si>
  <si>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</si>
  <si>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</si>
  <si>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</si>
  <si>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</si>
  <si>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</si>
  <si>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</si>
  <si>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</si>
  <si>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</si>
  <si>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</si>
  <si>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</si>
  <si>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</si>
  <si>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</si>
  <si>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</si>
  <si>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</si>
  <si>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</si>
  <si>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</si>
  <si>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</si>
  <si>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</si>
  <si>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</si>
  <si>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</si>
  <si>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</si>
  <si>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</si>
  <si>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</si>
  <si>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</si>
  <si>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</si>
  <si>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</si>
  <si>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</si>
  <si>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</si>
  <si>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</si>
  <si>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</si>
  <si>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Tekući prijenosi između proračunskih korisnika istog proračuna</t>
  </si>
  <si>
    <t>Prihodi od prodaje proizvoda i robe te pruženih usluga i prihodi od donacija</t>
  </si>
  <si>
    <t>Pristojbe i naknade</t>
  </si>
  <si>
    <t>Donacije i ostali rashodi</t>
  </si>
  <si>
    <t>Tekuće donacije u naravi</t>
  </si>
  <si>
    <t>Nematerijalna proizvedena imovina</t>
  </si>
  <si>
    <t>Ostala nematerijalna proizvedena imovina</t>
  </si>
  <si>
    <t>7=5/3*100</t>
  </si>
  <si>
    <t>Doprinosi na plaće</t>
  </si>
  <si>
    <t>OSNOVNA ŠKOLA BRAĆA RIBAR</t>
  </si>
  <si>
    <t>Športska 3</t>
  </si>
  <si>
    <t>23242 Posedarje</t>
  </si>
  <si>
    <t>OIB: 63359283065</t>
  </si>
  <si>
    <t>19 Predfinanciranje iz ŽP</t>
  </si>
  <si>
    <t>4 Prihodi za posebne namjene</t>
  </si>
  <si>
    <t>41 Prihodi za posebne namjene</t>
  </si>
  <si>
    <t>42 Višak/manjak prihoda korisnici</t>
  </si>
  <si>
    <t>45 F.P. i dod. udio u por. na dohodak</t>
  </si>
  <si>
    <t>5 Pomoći</t>
  </si>
  <si>
    <t>51 Državni proračun</t>
  </si>
  <si>
    <t>53 Proračun JLS</t>
  </si>
  <si>
    <t>54 Pomoći iz inozemstva</t>
  </si>
  <si>
    <t>7 Prihodi od prodaje nefinancijske imovine</t>
  </si>
  <si>
    <t xml:space="preserve">71 Prihodi od prodaje nefinacijske imovine </t>
  </si>
  <si>
    <t>6 Donacije</t>
  </si>
  <si>
    <t xml:space="preserve">61 Donacije </t>
  </si>
  <si>
    <t>09 Obrazovanje</t>
  </si>
  <si>
    <t>091 Predškolsko i osnovno obrazovanje</t>
  </si>
  <si>
    <t>096 Dodatne usluge u obrazovanju</t>
  </si>
  <si>
    <t>A2202-01</t>
  </si>
  <si>
    <t>Djelatnost osnovnih škola</t>
  </si>
  <si>
    <t>Izvor financiranja: F.P i dod. udio u por. na dohodak</t>
  </si>
  <si>
    <t>Račun rashoda/ izdatka</t>
  </si>
  <si>
    <t>Naziv računa</t>
  </si>
  <si>
    <t>Indeks (5=3/2*100)</t>
  </si>
  <si>
    <t>Uredski materijal i ostali mat. rashodi</t>
  </si>
  <si>
    <t>El. energija</t>
  </si>
  <si>
    <t>Materijal i dijelovi za tekuće i inv. održavanje</t>
  </si>
  <si>
    <t>Sitni inventar</t>
  </si>
  <si>
    <t>Usluge tekućeg i inv. održavanja</t>
  </si>
  <si>
    <t>Prijevoz učenika osnovnih škola</t>
  </si>
  <si>
    <t>Članarine</t>
  </si>
  <si>
    <t>Ukupno:</t>
  </si>
  <si>
    <t>Izvor financiranja: F.P. i dod. udio u por.na dohodak</t>
  </si>
  <si>
    <t>UKUPNO:</t>
  </si>
  <si>
    <t>T2202-03</t>
  </si>
  <si>
    <t>Hitne intervencije u osnovnim školama</t>
  </si>
  <si>
    <t>A2202-04</t>
  </si>
  <si>
    <t>Administracija i upravljanje</t>
  </si>
  <si>
    <t>Izvor financiranja: Državni proračun</t>
  </si>
  <si>
    <t>Plaće</t>
  </si>
  <si>
    <t>Prijevoz na posao i s posla</t>
  </si>
  <si>
    <t>Novčana nakn. zbog nezapoš.osob. s inv.</t>
  </si>
  <si>
    <t>A2203-01</t>
  </si>
  <si>
    <t>Javne potrebe u prosvjeti</t>
  </si>
  <si>
    <t>Izvor financiranja: Opći prihodi i primici</t>
  </si>
  <si>
    <t>Ostali nespomenuti rashodi</t>
  </si>
  <si>
    <t>T2203-02</t>
  </si>
  <si>
    <t>Projektna dokumentacija- Javne potrebe</t>
  </si>
  <si>
    <t>A2203-04</t>
  </si>
  <si>
    <t>Podizanje kvalitete i standarda u školstvu</t>
  </si>
  <si>
    <t xml:space="preserve">Izvor financiranja: Višak prihoda </t>
  </si>
  <si>
    <t xml:space="preserve">Izvor financiranja: Vlastiti prihodi </t>
  </si>
  <si>
    <t>Izvor financiranja: Proračun JLS</t>
  </si>
  <si>
    <t>A2203-06</t>
  </si>
  <si>
    <t>Školska kuhinja i kantina</t>
  </si>
  <si>
    <t>Uredski namještaj</t>
  </si>
  <si>
    <t>Izvor financiranja: Prihodi za posebne namjene</t>
  </si>
  <si>
    <t>Namirnice</t>
  </si>
  <si>
    <t>A2203-27</t>
  </si>
  <si>
    <t>Udžbenici</t>
  </si>
  <si>
    <t>A2203-33</t>
  </si>
  <si>
    <t>Prehrana za učenike</t>
  </si>
  <si>
    <t>A2203-34</t>
  </si>
  <si>
    <t>Osnovno školstvo-standard</t>
  </si>
  <si>
    <t>Motorni benzin i dizel gorivo</t>
  </si>
  <si>
    <t>Osnovno školstvo-iznad standarda</t>
  </si>
  <si>
    <t>Naknada za korištenje privatnog aut. u sl. svrhe</t>
  </si>
  <si>
    <t>Osnovni materijal i sirovine</t>
  </si>
  <si>
    <t>Usluge tekućeg i inv. održavanja građ. objekata</t>
  </si>
  <si>
    <t>Opskrba vodom</t>
  </si>
  <si>
    <t>Ostali nespom. rashodi poslovanja</t>
  </si>
  <si>
    <t>Materijal za hig. potrebe i njegu</t>
  </si>
  <si>
    <t>Izrada projektne dokumentacije za projekte OŠ</t>
  </si>
  <si>
    <t>Ostale računalne usluge</t>
  </si>
  <si>
    <t>Vlastiti izvori</t>
  </si>
  <si>
    <t>Rezultat poslovanja</t>
  </si>
  <si>
    <t>Višak prihoda</t>
  </si>
  <si>
    <t>Zalihe menstrual. higijenskih potrepština</t>
  </si>
  <si>
    <t xml:space="preserve">OSTVARENJE/IZVRŠENJE 
2024. </t>
  </si>
  <si>
    <t>Manjak prihoda</t>
  </si>
  <si>
    <t>Naknade za rad predstavničkih i izvršnih tijela, povjerenstava i slično</t>
  </si>
  <si>
    <t>12 Višak/manjak prihoda-ZŽ</t>
  </si>
  <si>
    <t>Reprezentacija</t>
  </si>
  <si>
    <t>Nakn. za korištenje privatnog automobila u sl. svrhe</t>
  </si>
  <si>
    <t>Izvor financiranja: Višak/manjak prihoda - ZŽ</t>
  </si>
  <si>
    <t>Oprema za grijanje, ventilaciju i hlađenje</t>
  </si>
  <si>
    <t>Izvor financiranja: Tekuće donacije - korisnici</t>
  </si>
  <si>
    <t>Izvor financiranja: Višak/manjak prihoda korisnici</t>
  </si>
  <si>
    <t>Nacionalni EU projekti</t>
  </si>
  <si>
    <t>Ur. broj: 2198-1-23-25-1</t>
  </si>
  <si>
    <t>Uredski materijal i ostali mat. Rashodi</t>
  </si>
  <si>
    <t>Izvor financiranja: Pomoći iz inozemstva</t>
  </si>
  <si>
    <t>Plaće za redovan rad EU 2023/2024</t>
  </si>
  <si>
    <t>Plaće za redovan rad EU 2024/2025</t>
  </si>
  <si>
    <t>Doprinosi na plaće - OZO - MZO 2023/2024</t>
  </si>
  <si>
    <t>Doprinosi na plaće - OZO - MZO 2024/2025</t>
  </si>
  <si>
    <t>IZVRŠENJE FINANCIJSKOG PLANA PRORAČUNSKOG KORISNIKA DRŽAVNOG PRORAČUNA
ZA RAZDOBLJE OD 01.01.-30.06.2025. GODINE</t>
  </si>
  <si>
    <t>IZVORNI PLAN ILI REBALANS 2025.*</t>
  </si>
  <si>
    <t xml:space="preserve">OSTVARENJE/IZVRŠENJE 
2025. </t>
  </si>
  <si>
    <t xml:space="preserve"> IZVRŠENJE 
2025. </t>
  </si>
  <si>
    <t xml:space="preserve">OSTVARENJE/IZVRŠENJE 
I-VI 2024. </t>
  </si>
  <si>
    <t xml:space="preserve">OSTVARENJE/IZVRŠENJE 
I-VI 2025. </t>
  </si>
  <si>
    <t xml:space="preserve"> IZVRŠENJE 
I-VI 2024. </t>
  </si>
  <si>
    <t xml:space="preserve"> IZVRŠENJE 
I-VI 2025. </t>
  </si>
  <si>
    <t>Intelektualne usluge</t>
  </si>
  <si>
    <t>Plaće po sudskim presudama</t>
  </si>
  <si>
    <t>Zakupnine i najamnine za opremu</t>
  </si>
  <si>
    <t>Ostali materijal i sirovine</t>
  </si>
  <si>
    <t>A2203-37</t>
  </si>
  <si>
    <t>Rad s darovitim i visoko motiviranim učenicima OŠ</t>
  </si>
  <si>
    <t>Intelektualne usluge OŠ</t>
  </si>
  <si>
    <t>T4306-03 Inkluzija-korak bliže društvu bez prepreka faza V.</t>
  </si>
  <si>
    <t xml:space="preserve">Ostali rashodi za zaposlene </t>
  </si>
  <si>
    <t>Plaće za redovan rad ŽP</t>
  </si>
  <si>
    <t>Doprinosi na plaće OZO-ŽP</t>
  </si>
  <si>
    <t>Naknada za prijevoz</t>
  </si>
  <si>
    <t>Plaće za redovan rad VPP</t>
  </si>
  <si>
    <t>Doprinosi na plaće OZO</t>
  </si>
  <si>
    <t>A2202-01 Djelatnost osnovnih škola</t>
  </si>
  <si>
    <t>OSTVARENJE/IZVRŠENJE 
I-VI 2024.</t>
  </si>
  <si>
    <t>OSTVARENJE/IZVRŠENJE 
I-VI 2025.</t>
  </si>
  <si>
    <t>Klasa: 400-04/25-01/05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</si>
</sst>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4"/>
      <name val="Times New Roman"/>
      <family val="1"/>
    </font>
    <font>
      <b/>
      <i/>
      <sz val="12"/>
      <name val="Times New Roman"/>
      <family val="1"/>
      <charset val="238"/>
    </font>
    <font>
      <b/>
      <i/>
      <sz val="16"/>
      <name val="Times New Roman"/>
      <family val="1"/>
    </font>
    <font>
      <b/>
      <i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3" fillId="0" borderId="0"/>
    <xf numFmtId="0" fontId="19" fillId="4" borderId="7" applyNumberFormat="0" applyFont="0" applyAlignment="0" applyProtection="0"/>
    <xf numFmtId="0" fontId="6" fillId="0" borderId="0"/>
    <xf numFmtId="0" fontId="6" fillId="0" borderId="0"/>
    <xf numFmtId="0" fontId="31" fillId="0" borderId="0"/>
  </cellStyleXfs>
  <cellXfs count="206">
    <xf numFmtId="0" fontId="0" fillId="0" borderId="0" xfId="0"/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/>
    <xf numFmtId="2" fontId="6" fillId="2" borderId="3" xfId="0" quotePrefix="1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>
      <alignment horizontal="right"/>
    </xf>
    <xf numFmtId="4" fontId="16" fillId="0" borderId="3" xfId="0" applyNumberFormat="1" applyFont="1" applyBorder="1"/>
    <xf numFmtId="4" fontId="17" fillId="0" borderId="3" xfId="0" applyNumberFormat="1" applyFont="1" applyBorder="1"/>
    <xf numFmtId="0" fontId="16" fillId="0" borderId="3" xfId="0" applyFont="1" applyBorder="1" applyAlignment="1">
      <alignment horizontal="left" vertical="center"/>
    </xf>
    <xf numFmtId="4" fontId="16" fillId="0" borderId="3" xfId="0" applyNumberFormat="1" applyFont="1" applyBorder="1" applyAlignment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4" fillId="2" borderId="0" xfId="0" applyNumberFormat="1" applyFont="1" applyFill="1" applyBorder="1" applyAlignment="1" applyProtection="1">
      <alignment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10" fillId="2" borderId="0" xfId="0" applyFont="1" applyFill="1" applyAlignment="1">
      <alignment wrapText="1"/>
    </xf>
    <xf numFmtId="0" fontId="3" fillId="2" borderId="0" xfId="0" applyNumberFormat="1" applyFont="1" applyFill="1" applyBorder="1" applyAlignment="1" applyProtection="1"/>
    <xf numFmtId="0" fontId="15" fillId="2" borderId="0" xfId="0" applyFont="1" applyFill="1"/>
    <xf numFmtId="0" fontId="13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center"/>
    </xf>
    <xf numFmtId="0" fontId="16" fillId="0" borderId="3" xfId="0" applyFont="1" applyBorder="1"/>
    <xf numFmtId="3" fontId="20" fillId="4" borderId="7" xfId="2" applyNumberFormat="1" applyFont="1" applyAlignment="1">
      <alignment horizontal="center" vertical="center"/>
    </xf>
    <xf numFmtId="3" fontId="20" fillId="4" borderId="7" xfId="2" applyNumberFormat="1" applyFont="1" applyAlignment="1">
      <alignment horizontal="left" vertical="center"/>
    </xf>
    <xf numFmtId="4" fontId="20" fillId="4" borderId="7" xfId="2" applyNumberFormat="1" applyFont="1" applyAlignment="1">
      <alignment horizontal="left" vertical="center"/>
    </xf>
    <xf numFmtId="4" fontId="23" fillId="0" borderId="3" xfId="3" quotePrefix="1" applyNumberFormat="1" applyFont="1" applyBorder="1" applyAlignment="1">
      <alignment horizontal="center" vertical="center" wrapText="1"/>
    </xf>
    <xf numFmtId="0" fontId="24" fillId="0" borderId="3" xfId="3" applyNumberFormat="1" applyFont="1" applyBorder="1" applyAlignment="1">
      <alignment horizontal="center" vertical="center" wrapText="1"/>
    </xf>
    <xf numFmtId="0" fontId="24" fillId="0" borderId="3" xfId="3" applyNumberFormat="1" applyFont="1" applyBorder="1" applyAlignment="1">
      <alignment horizontal="center" vertical="center"/>
    </xf>
    <xf numFmtId="3" fontId="24" fillId="0" borderId="3" xfId="3" applyNumberFormat="1" applyFont="1" applyBorder="1" applyAlignment="1">
      <alignment horizontal="center" vertical="center" wrapText="1"/>
    </xf>
    <xf numFmtId="3" fontId="24" fillId="0" borderId="3" xfId="3" quotePrefix="1" applyNumberFormat="1" applyFont="1" applyBorder="1" applyAlignment="1">
      <alignment horizontal="center" vertical="center" wrapText="1"/>
    </xf>
    <xf numFmtId="4" fontId="0" fillId="0" borderId="0" xfId="0" applyNumberFormat="1"/>
    <xf numFmtId="0" fontId="27" fillId="4" borderId="7" xfId="2" applyFont="1" applyAlignment="1">
      <alignment horizontal="left"/>
    </xf>
    <xf numFmtId="0" fontId="27" fillId="4" borderId="7" xfId="2" applyFont="1"/>
    <xf numFmtId="4" fontId="28" fillId="0" borderId="0" xfId="0" applyNumberFormat="1" applyFont="1"/>
    <xf numFmtId="0" fontId="29" fillId="0" borderId="0" xfId="0" applyFont="1" applyAlignment="1">
      <alignment horizontal="left"/>
    </xf>
    <xf numFmtId="0" fontId="28" fillId="0" borderId="0" xfId="0" applyFont="1"/>
    <xf numFmtId="49" fontId="20" fillId="5" borderId="0" xfId="3" applyNumberFormat="1" applyFont="1" applyFill="1" applyAlignment="1">
      <alignment horizontal="center" vertical="center"/>
    </xf>
    <xf numFmtId="3" fontId="20" fillId="5" borderId="0" xfId="3" applyNumberFormat="1" applyFont="1" applyFill="1" applyAlignment="1">
      <alignment horizontal="center" vertical="center"/>
    </xf>
    <xf numFmtId="4" fontId="20" fillId="5" borderId="7" xfId="2" applyNumberFormat="1" applyFont="1" applyFill="1" applyAlignment="1">
      <alignment horizontal="right" vertical="center"/>
    </xf>
    <xf numFmtId="4" fontId="28" fillId="6" borderId="7" xfId="0" applyNumberFormat="1" applyFont="1" applyFill="1" applyBorder="1"/>
    <xf numFmtId="4" fontId="0" fillId="6" borderId="7" xfId="0" applyNumberFormat="1" applyFill="1" applyBorder="1"/>
    <xf numFmtId="4" fontId="28" fillId="6" borderId="7" xfId="2" applyNumberFormat="1" applyFont="1" applyFill="1" applyBorder="1"/>
    <xf numFmtId="0" fontId="28" fillId="0" borderId="3" xfId="0" applyFont="1" applyBorder="1"/>
    <xf numFmtId="4" fontId="0" fillId="2" borderId="0" xfId="0" applyNumberFormat="1" applyFill="1"/>
    <xf numFmtId="0" fontId="26" fillId="2" borderId="0" xfId="0" applyFont="1" applyFill="1" applyBorder="1" applyAlignment="1">
      <alignment horizontal="left"/>
    </xf>
    <xf numFmtId="0" fontId="26" fillId="2" borderId="0" xfId="0" applyFont="1" applyFill="1" applyBorder="1"/>
    <xf numFmtId="4" fontId="26" fillId="2" borderId="0" xfId="0" applyNumberFormat="1" applyFont="1" applyFill="1" applyBorder="1"/>
    <xf numFmtId="4" fontId="26" fillId="2" borderId="0" xfId="0" applyNumberFormat="1" applyFont="1" applyFill="1" applyBorder="1" applyAlignment="1">
      <alignment horizontal="center"/>
    </xf>
    <xf numFmtId="4" fontId="28" fillId="2" borderId="0" xfId="0" applyNumberFormat="1" applyFont="1" applyFill="1"/>
    <xf numFmtId="3" fontId="22" fillId="2" borderId="0" xfId="3" applyNumberFormat="1" applyFont="1" applyFill="1" applyAlignment="1">
      <alignment horizontal="center" vertical="center"/>
    </xf>
    <xf numFmtId="4" fontId="22" fillId="2" borderId="0" xfId="3" applyNumberFormat="1" applyFont="1" applyFill="1" applyAlignment="1">
      <alignment horizontal="center" vertical="center"/>
    </xf>
    <xf numFmtId="0" fontId="25" fillId="2" borderId="3" xfId="0" applyFont="1" applyFill="1" applyBorder="1"/>
    <xf numFmtId="0" fontId="26" fillId="2" borderId="3" xfId="0" applyFont="1" applyFill="1" applyBorder="1" applyAlignment="1">
      <alignment horizontal="left"/>
    </xf>
    <xf numFmtId="4" fontId="26" fillId="2" borderId="3" xfId="0" applyNumberFormat="1" applyFont="1" applyFill="1" applyBorder="1"/>
    <xf numFmtId="4" fontId="26" fillId="2" borderId="3" xfId="0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left"/>
    </xf>
    <xf numFmtId="0" fontId="28" fillId="2" borderId="0" xfId="0" applyFont="1" applyFill="1"/>
    <xf numFmtId="0" fontId="28" fillId="2" borderId="0" xfId="0" applyFont="1" applyFill="1" applyAlignment="1">
      <alignment horizontal="left"/>
    </xf>
    <xf numFmtId="0" fontId="25" fillId="2" borderId="0" xfId="0" applyFont="1" applyFill="1" applyBorder="1" applyAlignment="1">
      <alignment horizontal="left"/>
    </xf>
    <xf numFmtId="0" fontId="25" fillId="2" borderId="0" xfId="0" applyFont="1" applyFill="1" applyBorder="1"/>
    <xf numFmtId="4" fontId="25" fillId="2" borderId="0" xfId="0" applyNumberFormat="1" applyFont="1" applyFill="1" applyBorder="1"/>
    <xf numFmtId="4" fontId="25" fillId="2" borderId="0" xfId="0" applyNumberFormat="1" applyFont="1" applyFill="1" applyBorder="1" applyAlignment="1">
      <alignment horizontal="center"/>
    </xf>
    <xf numFmtId="0" fontId="17" fillId="0" borderId="3" xfId="0" applyFont="1" applyBorder="1"/>
    <xf numFmtId="0" fontId="33" fillId="0" borderId="3" xfId="3" quotePrefix="1" applyNumberFormat="1" applyFont="1" applyBorder="1" applyAlignment="1">
      <alignment horizontal="left"/>
    </xf>
    <xf numFmtId="0" fontId="33" fillId="0" borderId="3" xfId="3" applyNumberFormat="1" applyFont="1" applyBorder="1" applyAlignment="1">
      <alignment vertical="center"/>
    </xf>
    <xf numFmtId="4" fontId="33" fillId="0" borderId="3" xfId="3" quotePrefix="1" applyNumberFormat="1" applyFont="1" applyBorder="1" applyAlignment="1">
      <alignment vertical="center"/>
    </xf>
    <xf numFmtId="4" fontId="34" fillId="0" borderId="3" xfId="3" quotePrefix="1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/>
    </xf>
    <xf numFmtId="4" fontId="28" fillId="0" borderId="3" xfId="0" applyNumberFormat="1" applyFont="1" applyBorder="1"/>
    <xf numFmtId="0" fontId="32" fillId="0" borderId="3" xfId="0" applyFont="1" applyBorder="1" applyAlignment="1">
      <alignment horizontal="left"/>
    </xf>
    <xf numFmtId="0" fontId="0" fillId="0" borderId="3" xfId="0" applyFont="1" applyBorder="1"/>
    <xf numFmtId="4" fontId="32" fillId="0" borderId="3" xfId="0" applyNumberFormat="1" applyFont="1" applyBorder="1"/>
    <xf numFmtId="4" fontId="35" fillId="0" borderId="3" xfId="3" quotePrefix="1" applyNumberFormat="1" applyFont="1" applyBorder="1" applyAlignment="1">
      <alignment horizontal="center" vertical="center"/>
    </xf>
    <xf numFmtId="0" fontId="35" fillId="0" borderId="3" xfId="3" applyNumberFormat="1" applyFont="1" applyBorder="1" applyAlignment="1">
      <alignment vertical="center" wrapText="1"/>
    </xf>
    <xf numFmtId="0" fontId="35" fillId="0" borderId="3" xfId="3" applyNumberFormat="1" applyFont="1" applyBorder="1" applyAlignment="1">
      <alignment vertical="center"/>
    </xf>
    <xf numFmtId="4" fontId="35" fillId="0" borderId="3" xfId="3" quotePrefix="1" applyNumberFormat="1" applyFont="1" applyBorder="1" applyAlignment="1">
      <alignment horizontal="center" vertical="center" wrapText="1"/>
    </xf>
    <xf numFmtId="0" fontId="36" fillId="0" borderId="3" xfId="3" applyNumberFormat="1" applyFont="1" applyBorder="1" applyAlignment="1">
      <alignment vertical="center" wrapText="1"/>
    </xf>
    <xf numFmtId="0" fontId="36" fillId="0" borderId="3" xfId="3" applyNumberFormat="1" applyFont="1" applyBorder="1" applyAlignment="1">
      <alignment vertical="center"/>
    </xf>
    <xf numFmtId="3" fontId="37" fillId="0" borderId="3" xfId="3" applyNumberFormat="1" applyFont="1" applyBorder="1" applyAlignment="1">
      <alignment horizontal="center" vertical="center" wrapText="1"/>
    </xf>
    <xf numFmtId="3" fontId="37" fillId="0" borderId="3" xfId="3" quotePrefix="1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wrapText="1"/>
    </xf>
    <xf numFmtId="4" fontId="28" fillId="0" borderId="3" xfId="0" applyNumberFormat="1" applyFont="1" applyBorder="1" applyAlignment="1">
      <alignment horizontal="center"/>
    </xf>
    <xf numFmtId="0" fontId="32" fillId="0" borderId="3" xfId="0" applyFont="1" applyBorder="1"/>
    <xf numFmtId="4" fontId="32" fillId="0" borderId="3" xfId="0" applyNumberFormat="1" applyFont="1" applyBorder="1" applyAlignment="1">
      <alignment horizontal="center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/>
    <xf numFmtId="4" fontId="32" fillId="2" borderId="0" xfId="0" applyNumberFormat="1" applyFont="1" applyFill="1" applyBorder="1"/>
    <xf numFmtId="4" fontId="32" fillId="2" borderId="0" xfId="0" applyNumberFormat="1" applyFont="1" applyFill="1" applyBorder="1" applyAlignment="1">
      <alignment horizontal="center"/>
    </xf>
    <xf numFmtId="0" fontId="33" fillId="0" borderId="3" xfId="3" applyNumberFormat="1" applyFont="1" applyBorder="1" applyAlignment="1">
      <alignment horizontal="left" vertical="center" wrapText="1"/>
    </xf>
    <xf numFmtId="4" fontId="33" fillId="0" borderId="3" xfId="3" applyNumberFormat="1" applyFont="1" applyBorder="1" applyAlignment="1">
      <alignment horizontal="right" vertical="center" wrapText="1"/>
    </xf>
    <xf numFmtId="4" fontId="33" fillId="0" borderId="3" xfId="3" quotePrefix="1" applyNumberFormat="1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/>
    </xf>
    <xf numFmtId="0" fontId="33" fillId="0" borderId="3" xfId="4" applyFont="1" applyBorder="1" applyAlignment="1">
      <alignment horizontal="left" vertical="center" wrapText="1"/>
    </xf>
    <xf numFmtId="4" fontId="28" fillId="0" borderId="3" xfId="0" applyNumberFormat="1" applyFont="1" applyBorder="1" applyAlignment="1">
      <alignment horizontal="right" vertical="center"/>
    </xf>
    <xf numFmtId="0" fontId="37" fillId="0" borderId="3" xfId="3" applyNumberFormat="1" applyFont="1" applyBorder="1" applyAlignment="1">
      <alignment vertical="center" wrapText="1"/>
    </xf>
    <xf numFmtId="0" fontId="37" fillId="0" borderId="3" xfId="3" applyNumberFormat="1" applyFont="1" applyBorder="1" applyAlignment="1">
      <alignment vertical="center"/>
    </xf>
    <xf numFmtId="0" fontId="33" fillId="0" borderId="3" xfId="3" applyNumberFormat="1" applyFont="1" applyBorder="1" applyAlignment="1">
      <alignment horizontal="left" wrapText="1"/>
    </xf>
    <xf numFmtId="0" fontId="33" fillId="0" borderId="3" xfId="3" applyNumberFormat="1" applyFont="1" applyBorder="1" applyAlignment="1"/>
    <xf numFmtId="4" fontId="33" fillId="0" borderId="3" xfId="3" applyNumberFormat="1" applyFont="1" applyBorder="1" applyAlignment="1">
      <alignment wrapText="1"/>
    </xf>
    <xf numFmtId="4" fontId="28" fillId="2" borderId="3" xfId="0" applyNumberFormat="1" applyFont="1" applyFill="1" applyBorder="1"/>
    <xf numFmtId="4" fontId="28" fillId="2" borderId="3" xfId="0" applyNumberFormat="1" applyFont="1" applyFill="1" applyBorder="1" applyAlignment="1">
      <alignment horizontal="center"/>
    </xf>
    <xf numFmtId="4" fontId="32" fillId="2" borderId="3" xfId="0" applyNumberFormat="1" applyFont="1" applyFill="1" applyBorder="1" applyAlignment="1">
      <alignment horizontal="center"/>
    </xf>
    <xf numFmtId="0" fontId="28" fillId="0" borderId="3" xfId="0" applyFont="1" applyBorder="1" applyAlignment="1"/>
    <xf numFmtId="4" fontId="28" fillId="0" borderId="3" xfId="0" applyNumberFormat="1" applyFont="1" applyBorder="1" applyAlignment="1"/>
    <xf numFmtId="0" fontId="8" fillId="2" borderId="3" xfId="0" quotePrefix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 applyProtection="1">
      <alignment horizontal="right" wrapText="1"/>
    </xf>
    <xf numFmtId="4" fontId="8" fillId="0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>
      <alignment vertical="center" wrapText="1"/>
    </xf>
    <xf numFmtId="4" fontId="8" fillId="3" borderId="3" xfId="0" applyNumberFormat="1" applyFont="1" applyFill="1" applyBorder="1" applyAlignment="1" applyProtection="1">
      <alignment vertical="center" wrapText="1"/>
    </xf>
    <xf numFmtId="0" fontId="27" fillId="4" borderId="7" xfId="2" applyFont="1" applyAlignment="1"/>
    <xf numFmtId="4" fontId="16" fillId="0" borderId="0" xfId="0" applyNumberFormat="1" applyFont="1"/>
    <xf numFmtId="0" fontId="32" fillId="0" borderId="0" xfId="0" applyFont="1" applyBorder="1" applyAlignment="1">
      <alignment horizontal="left"/>
    </xf>
    <xf numFmtId="0" fontId="32" fillId="0" borderId="0" xfId="0" applyFont="1" applyBorder="1"/>
    <xf numFmtId="4" fontId="32" fillId="0" borderId="0" xfId="0" applyNumberFormat="1" applyFont="1" applyBorder="1"/>
    <xf numFmtId="4" fontId="32" fillId="0" borderId="0" xfId="0" applyNumberFormat="1" applyFont="1" applyBorder="1" applyAlignment="1">
      <alignment horizontal="center"/>
    </xf>
    <xf numFmtId="3" fontId="36" fillId="0" borderId="3" xfId="3" quotePrefix="1" applyNumberFormat="1" applyFont="1" applyBorder="1" applyAlignment="1">
      <alignment horizontal="center" vertical="center" wrapText="1"/>
    </xf>
    <xf numFmtId="4" fontId="33" fillId="0" borderId="3" xfId="3" quotePrefix="1" applyNumberFormat="1" applyFont="1" applyBorder="1" applyAlignment="1">
      <alignment horizontal="center" wrapText="1"/>
    </xf>
    <xf numFmtId="0" fontId="30" fillId="5" borderId="0" xfId="0" applyFont="1" applyFill="1" applyBorder="1" applyAlignment="1">
      <alignment horizontal="center" vertical="center"/>
    </xf>
    <xf numFmtId="4" fontId="30" fillId="5" borderId="0" xfId="0" applyNumberFormat="1" applyFont="1" applyFill="1" applyBorder="1" applyAlignment="1">
      <alignment horizontal="right" vertical="center"/>
    </xf>
    <xf numFmtId="4" fontId="35" fillId="2" borderId="0" xfId="3" quotePrefix="1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left"/>
    </xf>
    <xf numFmtId="0" fontId="32" fillId="2" borderId="6" xfId="0" applyFont="1" applyFill="1" applyBorder="1"/>
    <xf numFmtId="4" fontId="32" fillId="2" borderId="6" xfId="0" applyNumberFormat="1" applyFont="1" applyFill="1" applyBorder="1"/>
    <xf numFmtId="0" fontId="8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9" fillId="2" borderId="5" xfId="0" applyFont="1" applyFill="1" applyBorder="1" applyAlignment="1">
      <alignment horizontal="left" wrapText="1"/>
    </xf>
    <xf numFmtId="0" fontId="0" fillId="0" borderId="5" xfId="0" applyBorder="1" applyAlignment="1">
      <alignment wrapText="1"/>
    </xf>
    <xf numFmtId="3" fontId="21" fillId="2" borderId="5" xfId="3" applyNumberFormat="1" applyFont="1" applyFill="1" applyBorder="1" applyAlignment="1">
      <alignment horizontal="left" wrapText="1"/>
    </xf>
    <xf numFmtId="0" fontId="29" fillId="2" borderId="8" xfId="0" applyFont="1" applyFill="1" applyBorder="1" applyAlignment="1">
      <alignment horizontal="left"/>
    </xf>
    <xf numFmtId="0" fontId="0" fillId="0" borderId="8" xfId="0" applyBorder="1" applyAlignment="1"/>
    <xf numFmtId="0" fontId="15" fillId="2" borderId="0" xfId="0" applyFont="1" applyFill="1" applyAlignment="1">
      <alignment horizontal="center"/>
    </xf>
    <xf numFmtId="0" fontId="29" fillId="0" borderId="8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33" fillId="0" borderId="3" xfId="3" applyNumberFormat="1" applyFont="1" applyBorder="1" applyAlignment="1">
      <alignment horizontal="left"/>
    </xf>
    <xf numFmtId="3" fontId="33" fillId="0" borderId="3" xfId="3" quotePrefix="1" applyNumberFormat="1" applyFont="1" applyBorder="1" applyAlignment="1">
      <alignment horizontal="center" vertical="center" wrapText="1"/>
    </xf>
    <xf numFmtId="4" fontId="35" fillId="0" borderId="0" xfId="3" quotePrefix="1" applyNumberFormat="1" applyFont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left" wrapText="1"/>
    </xf>
    <xf numFmtId="0" fontId="27" fillId="4" borderId="9" xfId="2" applyFont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Font="1" applyBorder="1"/>
    <xf numFmtId="4" fontId="35" fillId="0" borderId="0" xfId="3" quotePrefix="1" applyNumberFormat="1" applyFont="1" applyBorder="1" applyAlignment="1">
      <alignment horizontal="center" vertical="center"/>
    </xf>
  </cellXfs>
  <cellStyles count="6">
    <cellStyle name="Normal" xfId="0" builtinId="0"/>
    <cellStyle name="Normalno 2" xfId="5"/>
    <cellStyle name="Note" xfId="2" builtinId="10"/>
    <cellStyle name="Obično 2" xfId="3"/>
    <cellStyle name="Obično 3" xfId="4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zoomScaleNormal="100" workbookViewId="0">
      <selection activeCell="J20" sqref="J20"/>
    </sheetView>
  </sheetViews>
  <sheetFormatPr defaultRowHeight="15" x14ac:dyDescent="0.25"/>
  <cols>
    <col min="1" max="1" width="9.140625" style="42"/>
    <col min="6" max="9" width="25.28515625" customWidth="1"/>
    <col min="10" max="11" width="15.7109375" customWidth="1"/>
    <col min="12" max="12" width="25.28515625" style="42" customWidth="1"/>
    <col min="13" max="19" width="9.140625" style="42"/>
  </cols>
  <sheetData>
    <row r="1" spans="1:12" s="47" customFormat="1" ht="15.75" x14ac:dyDescent="0.25">
      <c r="A1" s="173" t="s">
        <v>110</v>
      </c>
      <c r="B1" s="174"/>
      <c r="C1" s="174"/>
      <c r="D1" s="174"/>
      <c r="E1" s="174"/>
    </row>
    <row r="2" spans="1:12" s="47" customFormat="1" ht="15.75" x14ac:dyDescent="0.25">
      <c r="A2" s="173" t="s">
        <v>111</v>
      </c>
      <c r="B2" s="174"/>
      <c r="C2" s="174"/>
      <c r="D2" s="174"/>
    </row>
    <row r="3" spans="1:12" s="47" customFormat="1" ht="15.75" x14ac:dyDescent="0.25">
      <c r="A3" s="173" t="s">
        <v>112</v>
      </c>
      <c r="B3" s="174"/>
      <c r="C3" s="174"/>
    </row>
    <row r="4" spans="1:12" s="47" customFormat="1" ht="15.75" x14ac:dyDescent="0.25">
      <c r="A4" s="173" t="s">
        <v>113</v>
      </c>
      <c r="B4" s="174"/>
      <c r="C4" s="174"/>
    </row>
    <row r="5" spans="1:12" s="47" customFormat="1" ht="15.75" x14ac:dyDescent="0.25">
      <c r="A5" s="173" t="s">
        <v>233</v>
      </c>
      <c r="B5" s="174"/>
      <c r="C5" s="174"/>
    </row>
    <row r="6" spans="1:12" s="47" customFormat="1" ht="15.75" x14ac:dyDescent="0.25">
      <c r="A6" s="173" t="s">
        <v>201</v>
      </c>
      <c r="B6" s="174"/>
      <c r="C6" s="174"/>
    </row>
    <row r="7" spans="1:12" ht="42" customHeight="1" x14ac:dyDescent="0.25">
      <c r="B7" s="175" t="s">
        <v>208</v>
      </c>
      <c r="C7" s="175"/>
      <c r="D7" s="175"/>
      <c r="E7" s="175"/>
      <c r="F7" s="175"/>
      <c r="G7" s="175"/>
      <c r="H7" s="175"/>
      <c r="I7" s="175"/>
      <c r="J7" s="175"/>
      <c r="K7" s="175"/>
      <c r="L7" s="43"/>
    </row>
    <row r="8" spans="1:12" ht="15.75" customHeight="1" x14ac:dyDescent="0.25">
      <c r="B8" s="175" t="s">
        <v>9</v>
      </c>
      <c r="C8" s="175"/>
      <c r="D8" s="175"/>
      <c r="E8" s="175"/>
      <c r="F8" s="175"/>
      <c r="G8" s="175"/>
      <c r="H8" s="175"/>
      <c r="I8" s="175"/>
      <c r="J8" s="175"/>
      <c r="K8" s="175"/>
      <c r="L8" s="44"/>
    </row>
    <row r="9" spans="1:12" ht="18" customHeight="1" x14ac:dyDescent="0.25">
      <c r="B9" s="175" t="s">
        <v>46</v>
      </c>
      <c r="C9" s="175"/>
      <c r="D9" s="175"/>
      <c r="E9" s="175"/>
      <c r="F9" s="175"/>
      <c r="G9" s="175"/>
      <c r="H9" s="175"/>
      <c r="I9" s="175"/>
      <c r="J9" s="175"/>
      <c r="K9" s="175"/>
      <c r="L9" s="45"/>
    </row>
    <row r="10" spans="1:12" ht="18" customHeight="1" x14ac:dyDescent="0.25"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45"/>
    </row>
    <row r="11" spans="1:12" ht="18" customHeight="1" x14ac:dyDescent="0.25">
      <c r="B11" s="178" t="s">
        <v>40</v>
      </c>
      <c r="C11" s="178"/>
      <c r="D11" s="178"/>
      <c r="E11" s="178"/>
      <c r="F11" s="178"/>
      <c r="G11" s="30"/>
      <c r="H11" s="26"/>
      <c r="I11" s="26"/>
      <c r="J11" s="27"/>
      <c r="K11" s="27"/>
    </row>
    <row r="12" spans="1:12" ht="25.5" x14ac:dyDescent="0.25">
      <c r="B12" s="177" t="s">
        <v>7</v>
      </c>
      <c r="C12" s="177"/>
      <c r="D12" s="177"/>
      <c r="E12" s="177"/>
      <c r="F12" s="177"/>
      <c r="G12" s="19" t="s">
        <v>231</v>
      </c>
      <c r="H12" s="19" t="s">
        <v>209</v>
      </c>
      <c r="I12" s="19" t="s">
        <v>232</v>
      </c>
      <c r="J12" s="19" t="s">
        <v>18</v>
      </c>
      <c r="K12" s="19" t="s">
        <v>37</v>
      </c>
    </row>
    <row r="13" spans="1:12" x14ac:dyDescent="0.25">
      <c r="B13" s="179">
        <v>1</v>
      </c>
      <c r="C13" s="179"/>
      <c r="D13" s="179"/>
      <c r="E13" s="179"/>
      <c r="F13" s="180"/>
      <c r="G13" s="22">
        <v>2</v>
      </c>
      <c r="H13" s="21">
        <v>3</v>
      </c>
      <c r="I13" s="21">
        <v>5</v>
      </c>
      <c r="J13" s="21" t="s">
        <v>30</v>
      </c>
      <c r="K13" s="21" t="s">
        <v>108</v>
      </c>
    </row>
    <row r="14" spans="1:12" x14ac:dyDescent="0.25">
      <c r="B14" s="166" t="s">
        <v>20</v>
      </c>
      <c r="C14" s="167"/>
      <c r="D14" s="167"/>
      <c r="E14" s="167"/>
      <c r="F14" s="168"/>
      <c r="G14" s="143">
        <v>772492.1</v>
      </c>
      <c r="H14" s="35">
        <v>1259786.21</v>
      </c>
      <c r="I14" s="139">
        <v>876466.44</v>
      </c>
      <c r="J14" s="12">
        <f>I14/G14*100</f>
        <v>113.4595991337646</v>
      </c>
      <c r="K14" s="12">
        <f>I14/H14*100</f>
        <v>69.57263328037223</v>
      </c>
    </row>
    <row r="15" spans="1:12" x14ac:dyDescent="0.25">
      <c r="B15" s="169" t="s">
        <v>19</v>
      </c>
      <c r="C15" s="168"/>
      <c r="D15" s="168"/>
      <c r="E15" s="168"/>
      <c r="F15" s="168"/>
      <c r="G15" s="143">
        <v>0</v>
      </c>
      <c r="H15" s="139">
        <v>0</v>
      </c>
      <c r="I15" s="139">
        <v>0</v>
      </c>
      <c r="J15" s="12" t="e">
        <f t="shared" ref="J15:J20" si="0">I15/G15*100</f>
        <v>#DIV/0!</v>
      </c>
      <c r="K15" s="12" t="e">
        <f t="shared" ref="K15:K20" si="1">I15/H15*100</f>
        <v>#DIV/0!</v>
      </c>
    </row>
    <row r="16" spans="1:12" x14ac:dyDescent="0.25">
      <c r="B16" s="163" t="s">
        <v>0</v>
      </c>
      <c r="C16" s="164"/>
      <c r="D16" s="164"/>
      <c r="E16" s="164"/>
      <c r="F16" s="165"/>
      <c r="G16" s="144">
        <f>G14+G15</f>
        <v>772492.1</v>
      </c>
      <c r="H16" s="140">
        <f>H14+H15</f>
        <v>1259786.21</v>
      </c>
      <c r="I16" s="140">
        <f>I14+I15</f>
        <v>876466.44</v>
      </c>
      <c r="J16" s="12">
        <f t="shared" si="0"/>
        <v>113.4595991337646</v>
      </c>
      <c r="K16" s="12">
        <f t="shared" si="1"/>
        <v>69.57263328037223</v>
      </c>
    </row>
    <row r="17" spans="2:12" x14ac:dyDescent="0.25">
      <c r="B17" s="172" t="s">
        <v>21</v>
      </c>
      <c r="C17" s="167"/>
      <c r="D17" s="167"/>
      <c r="E17" s="167"/>
      <c r="F17" s="167"/>
      <c r="G17" s="145">
        <v>761594.81</v>
      </c>
      <c r="H17" s="139">
        <v>1236486.21</v>
      </c>
      <c r="I17" s="139">
        <v>862794.92</v>
      </c>
      <c r="J17" s="12">
        <f t="shared" si="0"/>
        <v>113.28792012119935</v>
      </c>
      <c r="K17" s="12">
        <f t="shared" si="1"/>
        <v>69.777965417018279</v>
      </c>
    </row>
    <row r="18" spans="2:12" x14ac:dyDescent="0.25">
      <c r="B18" s="170" t="s">
        <v>22</v>
      </c>
      <c r="C18" s="168"/>
      <c r="D18" s="168"/>
      <c r="E18" s="168"/>
      <c r="F18" s="168"/>
      <c r="G18" s="143">
        <v>28469.919999999998</v>
      </c>
      <c r="H18" s="141">
        <v>23300</v>
      </c>
      <c r="I18" s="141">
        <v>1000</v>
      </c>
      <c r="J18" s="12">
        <f t="shared" si="0"/>
        <v>3.5124791358739333</v>
      </c>
      <c r="K18" s="12">
        <f t="shared" si="1"/>
        <v>4.2918454935622314</v>
      </c>
    </row>
    <row r="19" spans="2:12" x14ac:dyDescent="0.25">
      <c r="B19" s="13" t="s">
        <v>1</v>
      </c>
      <c r="C19" s="25"/>
      <c r="D19" s="25"/>
      <c r="E19" s="25"/>
      <c r="F19" s="25"/>
      <c r="G19" s="144">
        <f>G17+G18</f>
        <v>790064.7300000001</v>
      </c>
      <c r="H19" s="140">
        <f>H17+H18</f>
        <v>1259786.21</v>
      </c>
      <c r="I19" s="140">
        <f>I17+I18</f>
        <v>863794.92</v>
      </c>
      <c r="J19" s="12">
        <f t="shared" si="0"/>
        <v>109.33217079567645</v>
      </c>
      <c r="K19" s="12">
        <f t="shared" si="1"/>
        <v>68.566786423229715</v>
      </c>
    </row>
    <row r="20" spans="2:12" x14ac:dyDescent="0.25">
      <c r="B20" s="171" t="s">
        <v>2</v>
      </c>
      <c r="C20" s="164"/>
      <c r="D20" s="164"/>
      <c r="E20" s="164"/>
      <c r="F20" s="164"/>
      <c r="G20" s="146">
        <f>G16-G19</f>
        <v>-17572.630000000121</v>
      </c>
      <c r="H20" s="142">
        <f>H16-H19</f>
        <v>0</v>
      </c>
      <c r="I20" s="142">
        <f>I16-I19</f>
        <v>12671.519999999902</v>
      </c>
      <c r="J20" s="12">
        <f t="shared" si="0"/>
        <v>-72.109411055714574</v>
      </c>
      <c r="K20" s="12" t="e">
        <f t="shared" si="1"/>
        <v>#DIV/0!</v>
      </c>
    </row>
    <row r="21" spans="2:12" ht="18" x14ac:dyDescent="0.25"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46"/>
    </row>
    <row r="22" spans="2:12" s="42" customFormat="1" x14ac:dyDescent="0.25"/>
    <row r="23" spans="2:12" s="42" customFormat="1" x14ac:dyDescent="0.25"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2:12" s="42" customFormat="1" x14ac:dyDescent="0.25">
      <c r="B24" s="161" t="s">
        <v>41</v>
      </c>
      <c r="C24" s="161"/>
      <c r="D24" s="161"/>
      <c r="E24" s="161"/>
      <c r="F24" s="161"/>
      <c r="G24" s="161"/>
      <c r="H24" s="161"/>
      <c r="I24" s="161"/>
      <c r="J24" s="161"/>
      <c r="K24" s="161"/>
    </row>
    <row r="25" spans="2:12" s="42" customFormat="1" ht="15" customHeight="1" x14ac:dyDescent="0.25">
      <c r="B25" s="161" t="s">
        <v>42</v>
      </c>
      <c r="C25" s="161"/>
      <c r="D25" s="161"/>
      <c r="E25" s="161"/>
      <c r="F25" s="161"/>
      <c r="G25" s="161"/>
      <c r="H25" s="161"/>
      <c r="I25" s="161"/>
      <c r="J25" s="161"/>
      <c r="K25" s="161"/>
    </row>
    <row r="26" spans="2:12" s="42" customFormat="1" ht="15" customHeight="1" x14ac:dyDescent="0.25">
      <c r="B26" s="161" t="s">
        <v>43</v>
      </c>
      <c r="C26" s="161"/>
      <c r="D26" s="161"/>
      <c r="E26" s="161"/>
      <c r="F26" s="161"/>
      <c r="G26" s="161"/>
      <c r="H26" s="161"/>
      <c r="I26" s="161"/>
      <c r="J26" s="161"/>
      <c r="K26" s="161"/>
    </row>
    <row r="27" spans="2:12" s="42" customFormat="1" ht="15" customHeight="1" x14ac:dyDescent="0.25">
      <c r="B27" s="161" t="s">
        <v>44</v>
      </c>
      <c r="C27" s="161"/>
      <c r="D27" s="161"/>
      <c r="E27" s="161"/>
      <c r="F27" s="161"/>
      <c r="G27" s="161"/>
      <c r="H27" s="161"/>
      <c r="I27" s="161"/>
      <c r="J27" s="161"/>
      <c r="K27" s="161"/>
    </row>
    <row r="28" spans="2:12" s="42" customFormat="1" ht="36.75" customHeight="1" x14ac:dyDescent="0.25">
      <c r="B28" s="161"/>
      <c r="C28" s="161"/>
      <c r="D28" s="161"/>
      <c r="E28" s="161"/>
      <c r="F28" s="161"/>
      <c r="G28" s="161"/>
      <c r="H28" s="161"/>
      <c r="I28" s="161"/>
      <c r="J28" s="161"/>
      <c r="K28" s="161"/>
    </row>
    <row r="29" spans="2:12" s="42" customFormat="1" ht="15" customHeight="1" x14ac:dyDescent="0.25">
      <c r="B29" s="162" t="s">
        <v>45</v>
      </c>
      <c r="C29" s="162"/>
      <c r="D29" s="162"/>
      <c r="E29" s="162"/>
      <c r="F29" s="162"/>
      <c r="G29" s="162"/>
      <c r="H29" s="162"/>
      <c r="I29" s="162"/>
      <c r="J29" s="162"/>
      <c r="K29" s="162"/>
    </row>
    <row r="30" spans="2:12" s="42" customFormat="1" x14ac:dyDescent="0.25">
      <c r="B30" s="162"/>
      <c r="C30" s="162"/>
      <c r="D30" s="162"/>
      <c r="E30" s="162"/>
      <c r="F30" s="162"/>
      <c r="G30" s="162"/>
      <c r="H30" s="162"/>
      <c r="I30" s="162"/>
      <c r="J30" s="162"/>
      <c r="K30" s="162"/>
    </row>
    <row r="31" spans="2:12" s="42" customFormat="1" ht="20.25" customHeight="1" x14ac:dyDescent="0.25"/>
    <row r="32" spans="2:1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  <row r="68" s="42" customFormat="1" x14ac:dyDescent="0.25"/>
    <row r="69" s="42" customFormat="1" x14ac:dyDescent="0.25"/>
    <row r="70" s="42" customFormat="1" x14ac:dyDescent="0.25"/>
    <row r="71" s="42" customFormat="1" x14ac:dyDescent="0.25"/>
    <row r="72" s="42" customFormat="1" x14ac:dyDescent="0.25"/>
    <row r="73" s="42" customFormat="1" x14ac:dyDescent="0.25"/>
    <row r="74" s="42" customFormat="1" x14ac:dyDescent="0.25"/>
    <row r="75" s="42" customFormat="1" x14ac:dyDescent="0.25"/>
    <row r="76" s="42" customFormat="1" x14ac:dyDescent="0.25"/>
    <row r="77" s="42" customFormat="1" x14ac:dyDescent="0.25"/>
    <row r="78" s="42" customFormat="1" x14ac:dyDescent="0.25"/>
    <row r="79" s="42" customFormat="1" x14ac:dyDescent="0.25"/>
    <row r="80" s="42" customFormat="1" x14ac:dyDescent="0.25"/>
  </sheetData>
  <mergeCells count="25">
    <mergeCell ref="A1:E1"/>
    <mergeCell ref="B26:K26"/>
    <mergeCell ref="B10:K10"/>
    <mergeCell ref="B21:K21"/>
    <mergeCell ref="B9:K9"/>
    <mergeCell ref="B8:K8"/>
    <mergeCell ref="B7:K7"/>
    <mergeCell ref="B12:F12"/>
    <mergeCell ref="B11:F11"/>
    <mergeCell ref="B13:F13"/>
    <mergeCell ref="A5:C5"/>
    <mergeCell ref="A6:C6"/>
    <mergeCell ref="A4:C4"/>
    <mergeCell ref="A3:C3"/>
    <mergeCell ref="A2:D2"/>
    <mergeCell ref="B27:K28"/>
    <mergeCell ref="B29:K30"/>
    <mergeCell ref="B16:F16"/>
    <mergeCell ref="B14:F14"/>
    <mergeCell ref="B15:F15"/>
    <mergeCell ref="B24:K24"/>
    <mergeCell ref="B25:K25"/>
    <mergeCell ref="B18:F18"/>
    <mergeCell ref="B20:F20"/>
    <mergeCell ref="B17:F17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5"/>
  <sheetViews>
    <sheetView zoomScale="90" zoomScaleNormal="90" workbookViewId="0">
      <selection activeCell="I8" sqref="I8"/>
    </sheetView>
  </sheetViews>
  <sheetFormatPr defaultRowHeight="15" x14ac:dyDescent="0.25"/>
  <cols>
    <col min="1" max="1" width="9.140625" style="42"/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9" width="25.28515625" customWidth="1"/>
    <col min="10" max="11" width="15.7109375" customWidth="1"/>
    <col min="12" max="46" width="9.140625" style="42"/>
  </cols>
  <sheetData>
    <row r="1" spans="2:11" ht="18" x14ac:dyDescent="0.25"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2:11" ht="15.75" customHeight="1" x14ac:dyDescent="0.25">
      <c r="B2" s="175" t="s">
        <v>9</v>
      </c>
      <c r="C2" s="175"/>
      <c r="D2" s="175"/>
      <c r="E2" s="175"/>
      <c r="F2" s="175"/>
      <c r="G2" s="175"/>
      <c r="H2" s="175"/>
      <c r="I2" s="175"/>
      <c r="J2" s="175"/>
      <c r="K2" s="175"/>
    </row>
    <row r="3" spans="2:11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2:11" ht="15.75" customHeight="1" x14ac:dyDescent="0.25">
      <c r="B4" s="175" t="s">
        <v>38</v>
      </c>
      <c r="C4" s="175"/>
      <c r="D4" s="175"/>
      <c r="E4" s="175"/>
      <c r="F4" s="175"/>
      <c r="G4" s="175"/>
      <c r="H4" s="175"/>
      <c r="I4" s="175"/>
      <c r="J4" s="175"/>
      <c r="K4" s="175"/>
    </row>
    <row r="5" spans="2:11" ht="15.7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2:11" ht="15.75" customHeight="1" x14ac:dyDescent="0.25">
      <c r="B6" s="175" t="s">
        <v>31</v>
      </c>
      <c r="C6" s="175"/>
      <c r="D6" s="175"/>
      <c r="E6" s="175"/>
      <c r="F6" s="175"/>
      <c r="G6" s="175"/>
      <c r="H6" s="175"/>
      <c r="I6" s="175"/>
      <c r="J6" s="175"/>
      <c r="K6" s="175"/>
    </row>
    <row r="7" spans="2:11" ht="18" x14ac:dyDescent="0.25">
      <c r="B7" s="188"/>
      <c r="C7" s="188"/>
      <c r="D7" s="188"/>
      <c r="E7" s="188"/>
      <c r="F7" s="188"/>
      <c r="G7" s="188"/>
      <c r="H7" s="188"/>
      <c r="I7" s="188"/>
      <c r="J7" s="188"/>
      <c r="K7" s="188"/>
    </row>
    <row r="8" spans="2:11" ht="45" customHeight="1" x14ac:dyDescent="0.25">
      <c r="B8" s="185" t="s">
        <v>7</v>
      </c>
      <c r="C8" s="186"/>
      <c r="D8" s="186"/>
      <c r="E8" s="186"/>
      <c r="F8" s="187"/>
      <c r="G8" s="23" t="s">
        <v>212</v>
      </c>
      <c r="H8" s="23" t="s">
        <v>209</v>
      </c>
      <c r="I8" s="23" t="s">
        <v>213</v>
      </c>
      <c r="J8" s="23" t="s">
        <v>18</v>
      </c>
      <c r="K8" s="23" t="s">
        <v>37</v>
      </c>
    </row>
    <row r="9" spans="2:11" x14ac:dyDescent="0.25">
      <c r="B9" s="182">
        <v>1</v>
      </c>
      <c r="C9" s="183"/>
      <c r="D9" s="183"/>
      <c r="E9" s="183"/>
      <c r="F9" s="184"/>
      <c r="G9" s="24">
        <v>2</v>
      </c>
      <c r="H9" s="24">
        <v>3</v>
      </c>
      <c r="I9" s="24">
        <v>5</v>
      </c>
      <c r="J9" s="24" t="s">
        <v>30</v>
      </c>
      <c r="K9" s="24" t="s">
        <v>108</v>
      </c>
    </row>
    <row r="10" spans="2:11" x14ac:dyDescent="0.25">
      <c r="B10" s="2"/>
      <c r="C10" s="2"/>
      <c r="D10" s="2"/>
      <c r="E10" s="2"/>
      <c r="F10" s="2" t="s">
        <v>36</v>
      </c>
      <c r="G10" s="35">
        <f>G11</f>
        <v>772492.1</v>
      </c>
      <c r="H10" s="35">
        <f>H11+H32+H36</f>
        <v>1259786.2100000002</v>
      </c>
      <c r="I10" s="37">
        <f>I11+I32</f>
        <v>876466.44</v>
      </c>
      <c r="J10" s="36">
        <f t="shared" ref="J10:J39" si="0">I10/G10*100</f>
        <v>113.4595991337646</v>
      </c>
      <c r="K10" s="36">
        <f>I10/H10*100</f>
        <v>69.572633280372216</v>
      </c>
    </row>
    <row r="11" spans="2:11" x14ac:dyDescent="0.25">
      <c r="B11" s="2">
        <v>6</v>
      </c>
      <c r="C11" s="2"/>
      <c r="D11" s="2"/>
      <c r="E11" s="2"/>
      <c r="F11" s="2" t="s">
        <v>3</v>
      </c>
      <c r="G11" s="32">
        <f>G12+G19+G22+G28</f>
        <v>772492.1</v>
      </c>
      <c r="H11" s="32">
        <f>H12+H19+H22+H28</f>
        <v>1254786.2100000002</v>
      </c>
      <c r="I11" s="32">
        <f>I12+I19+I22+I28</f>
        <v>876466.44</v>
      </c>
      <c r="J11" s="36">
        <f t="shared" si="0"/>
        <v>113.4595991337646</v>
      </c>
      <c r="K11" s="36">
        <f t="shared" ref="K11:K39" si="1">I11/H11*100</f>
        <v>69.849862312401385</v>
      </c>
    </row>
    <row r="12" spans="2:11" ht="25.5" x14ac:dyDescent="0.25">
      <c r="B12" s="2"/>
      <c r="C12" s="7">
        <v>63</v>
      </c>
      <c r="D12" s="7"/>
      <c r="E12" s="7"/>
      <c r="F12" s="7" t="s">
        <v>11</v>
      </c>
      <c r="G12" s="31">
        <f>G13+G16</f>
        <v>633238.98</v>
      </c>
      <c r="H12" s="31">
        <f>H13</f>
        <v>1098549.8700000001</v>
      </c>
      <c r="I12" s="36">
        <f>I13+I16</f>
        <v>710103.23</v>
      </c>
      <c r="J12" s="36">
        <f t="shared" si="0"/>
        <v>112.13826887283534</v>
      </c>
      <c r="K12" s="36">
        <f t="shared" si="1"/>
        <v>64.640054074195092</v>
      </c>
    </row>
    <row r="13" spans="2:11" ht="25.5" customHeight="1" x14ac:dyDescent="0.25">
      <c r="B13" s="3"/>
      <c r="C13" s="3"/>
      <c r="D13" s="3">
        <v>636</v>
      </c>
      <c r="E13" s="3"/>
      <c r="F13" s="18" t="s">
        <v>47</v>
      </c>
      <c r="G13" s="31">
        <f>G14+G15</f>
        <v>633238.98</v>
      </c>
      <c r="H13" s="31">
        <f>H14+H15</f>
        <v>1098549.8700000001</v>
      </c>
      <c r="I13" s="36">
        <f>I14+I15</f>
        <v>710103.23</v>
      </c>
      <c r="J13" s="36">
        <f t="shared" si="0"/>
        <v>112.13826887283534</v>
      </c>
      <c r="K13" s="36">
        <f t="shared" si="1"/>
        <v>64.640054074195092</v>
      </c>
    </row>
    <row r="14" spans="2:11" ht="25.5" x14ac:dyDescent="0.25">
      <c r="B14" s="3"/>
      <c r="C14" s="3"/>
      <c r="D14" s="3"/>
      <c r="E14" s="3">
        <v>6361</v>
      </c>
      <c r="F14" s="33" t="s">
        <v>48</v>
      </c>
      <c r="G14" s="31">
        <v>617083.98</v>
      </c>
      <c r="H14" s="31">
        <f>1004100+70000+612+4000</f>
        <v>1078712</v>
      </c>
      <c r="I14" s="36">
        <v>710103.23</v>
      </c>
      <c r="J14" s="36">
        <f t="shared" si="0"/>
        <v>115.07400175904745</v>
      </c>
      <c r="K14" s="36">
        <f t="shared" si="1"/>
        <v>65.828806020513355</v>
      </c>
    </row>
    <row r="15" spans="2:11" ht="25.5" x14ac:dyDescent="0.25">
      <c r="B15" s="3"/>
      <c r="C15" s="3"/>
      <c r="D15" s="4"/>
      <c r="E15" s="3">
        <v>6362</v>
      </c>
      <c r="F15" s="18" t="s">
        <v>49</v>
      </c>
      <c r="G15" s="31">
        <v>16155</v>
      </c>
      <c r="H15" s="31">
        <f>837.87+19000</f>
        <v>19837.87</v>
      </c>
      <c r="I15" s="36">
        <v>0</v>
      </c>
      <c r="J15" s="36">
        <f t="shared" si="0"/>
        <v>0</v>
      </c>
      <c r="K15" s="36">
        <f t="shared" si="1"/>
        <v>0</v>
      </c>
    </row>
    <row r="16" spans="2:11" ht="25.5" customHeight="1" x14ac:dyDescent="0.25">
      <c r="B16" s="3"/>
      <c r="C16" s="3"/>
      <c r="D16" s="3">
        <v>639</v>
      </c>
      <c r="E16" s="3"/>
      <c r="F16" s="18" t="s">
        <v>50</v>
      </c>
      <c r="G16" s="31">
        <f>G17+G18</f>
        <v>0</v>
      </c>
      <c r="H16" s="31">
        <f>0</f>
        <v>0</v>
      </c>
      <c r="I16" s="36">
        <v>0</v>
      </c>
      <c r="J16" s="36" t="e">
        <f t="shared" si="0"/>
        <v>#DIV/0!</v>
      </c>
      <c r="K16" s="36" t="e">
        <f t="shared" si="1"/>
        <v>#DIV/0!</v>
      </c>
    </row>
    <row r="17" spans="2:11" ht="25.5" customHeight="1" x14ac:dyDescent="0.25">
      <c r="B17" s="3"/>
      <c r="C17" s="3"/>
      <c r="D17" s="3"/>
      <c r="E17" s="3">
        <v>6391</v>
      </c>
      <c r="F17" s="18" t="s">
        <v>101</v>
      </c>
      <c r="G17" s="31">
        <v>0</v>
      </c>
      <c r="H17" s="31">
        <v>0</v>
      </c>
      <c r="I17" s="36">
        <v>0</v>
      </c>
      <c r="J17" s="36" t="e">
        <f t="shared" si="0"/>
        <v>#DIV/0!</v>
      </c>
      <c r="K17" s="36" t="e">
        <f t="shared" si="1"/>
        <v>#DIV/0!</v>
      </c>
    </row>
    <row r="18" spans="2:11" ht="25.5" customHeight="1" x14ac:dyDescent="0.25">
      <c r="B18" s="3"/>
      <c r="C18" s="3"/>
      <c r="D18" s="3"/>
      <c r="E18" s="3">
        <v>6393</v>
      </c>
      <c r="F18" s="18" t="s">
        <v>51</v>
      </c>
      <c r="G18" s="31">
        <v>0</v>
      </c>
      <c r="H18" s="31">
        <v>0</v>
      </c>
      <c r="I18" s="36">
        <v>0</v>
      </c>
      <c r="J18" s="36" t="e">
        <f t="shared" si="0"/>
        <v>#DIV/0!</v>
      </c>
      <c r="K18" s="36" t="e">
        <f t="shared" si="1"/>
        <v>#DIV/0!</v>
      </c>
    </row>
    <row r="19" spans="2:11" ht="25.5" customHeight="1" x14ac:dyDescent="0.25">
      <c r="B19" s="3"/>
      <c r="C19" s="3">
        <v>65</v>
      </c>
      <c r="D19" s="3"/>
      <c r="E19" s="3"/>
      <c r="F19" s="18" t="s">
        <v>52</v>
      </c>
      <c r="G19" s="31">
        <f t="shared" ref="G19:I20" si="2">G20</f>
        <v>1014.46</v>
      </c>
      <c r="H19" s="31">
        <f t="shared" si="2"/>
        <v>3000</v>
      </c>
      <c r="I19" s="36">
        <f t="shared" si="2"/>
        <v>1494.1</v>
      </c>
      <c r="J19" s="36">
        <f t="shared" si="0"/>
        <v>147.28032647911203</v>
      </c>
      <c r="K19" s="36">
        <f t="shared" si="1"/>
        <v>49.803333333333335</v>
      </c>
    </row>
    <row r="20" spans="2:11" ht="25.5" customHeight="1" x14ac:dyDescent="0.25">
      <c r="B20" s="3"/>
      <c r="C20" s="3"/>
      <c r="D20" s="3">
        <v>652</v>
      </c>
      <c r="E20" s="3"/>
      <c r="F20" s="18" t="s">
        <v>53</v>
      </c>
      <c r="G20" s="31">
        <f t="shared" si="2"/>
        <v>1014.46</v>
      </c>
      <c r="H20" s="31">
        <f t="shared" si="2"/>
        <v>3000</v>
      </c>
      <c r="I20" s="36">
        <f t="shared" si="2"/>
        <v>1494.1</v>
      </c>
      <c r="J20" s="36">
        <f t="shared" si="0"/>
        <v>147.28032647911203</v>
      </c>
      <c r="K20" s="36">
        <f t="shared" si="1"/>
        <v>49.803333333333335</v>
      </c>
    </row>
    <row r="21" spans="2:11" ht="25.5" customHeight="1" x14ac:dyDescent="0.25">
      <c r="B21" s="3"/>
      <c r="C21" s="3"/>
      <c r="D21" s="3"/>
      <c r="E21" s="3">
        <v>6526</v>
      </c>
      <c r="F21" s="18" t="s">
        <v>54</v>
      </c>
      <c r="G21" s="31">
        <v>1014.46</v>
      </c>
      <c r="H21" s="31">
        <v>3000</v>
      </c>
      <c r="I21" s="36">
        <v>1494.1</v>
      </c>
      <c r="J21" s="36">
        <f t="shared" si="0"/>
        <v>147.28032647911203</v>
      </c>
      <c r="K21" s="36">
        <f t="shared" si="1"/>
        <v>49.803333333333335</v>
      </c>
    </row>
    <row r="22" spans="2:11" ht="25.5" x14ac:dyDescent="0.25">
      <c r="B22" s="3"/>
      <c r="C22" s="3">
        <v>66</v>
      </c>
      <c r="D22" s="4"/>
      <c r="E22" s="4"/>
      <c r="F22" s="7" t="s">
        <v>102</v>
      </c>
      <c r="G22" s="31">
        <f>G23+G25</f>
        <v>12328.380000000001</v>
      </c>
      <c r="H22" s="31">
        <f>H23+H25</f>
        <v>20300</v>
      </c>
      <c r="I22" s="36">
        <f>I23</f>
        <v>10194.73</v>
      </c>
      <c r="J22" s="36">
        <f t="shared" si="0"/>
        <v>82.693184343766163</v>
      </c>
      <c r="K22" s="36">
        <f t="shared" si="1"/>
        <v>50.220344827586203</v>
      </c>
    </row>
    <row r="23" spans="2:11" ht="25.5" x14ac:dyDescent="0.25">
      <c r="B23" s="3"/>
      <c r="C23" s="11"/>
      <c r="D23" s="3">
        <v>661</v>
      </c>
      <c r="E23" s="4"/>
      <c r="F23" s="7" t="s">
        <v>23</v>
      </c>
      <c r="G23" s="31">
        <f>G24</f>
        <v>7527.14</v>
      </c>
      <c r="H23" s="31">
        <f>H24</f>
        <v>19300</v>
      </c>
      <c r="I23" s="36">
        <f>I24</f>
        <v>10194.73</v>
      </c>
      <c r="J23" s="36">
        <f t="shared" si="0"/>
        <v>135.43962248609697</v>
      </c>
      <c r="K23" s="36">
        <f t="shared" si="1"/>
        <v>52.822435233160611</v>
      </c>
    </row>
    <row r="24" spans="2:11" ht="25.5" customHeight="1" x14ac:dyDescent="0.25">
      <c r="B24" s="3"/>
      <c r="C24" s="11"/>
      <c r="D24" s="4"/>
      <c r="E24" s="3">
        <v>6615</v>
      </c>
      <c r="F24" s="7" t="s">
        <v>55</v>
      </c>
      <c r="G24" s="31">
        <v>7527.14</v>
      </c>
      <c r="H24" s="31">
        <v>19300</v>
      </c>
      <c r="I24" s="36">
        <v>10194.73</v>
      </c>
      <c r="J24" s="36">
        <f t="shared" si="0"/>
        <v>135.43962248609697</v>
      </c>
      <c r="K24" s="36">
        <f t="shared" si="1"/>
        <v>52.822435233160611</v>
      </c>
    </row>
    <row r="25" spans="2:11" ht="25.5" customHeight="1" x14ac:dyDescent="0.25">
      <c r="B25" s="3"/>
      <c r="C25" s="3"/>
      <c r="D25" s="3">
        <v>663</v>
      </c>
      <c r="E25" s="4"/>
      <c r="F25" s="7" t="s">
        <v>56</v>
      </c>
      <c r="G25" s="31">
        <f>G26+G27</f>
        <v>4801.24</v>
      </c>
      <c r="H25" s="31">
        <f>H26+H27</f>
        <v>1000</v>
      </c>
      <c r="I25" s="36">
        <f>I26</f>
        <v>0</v>
      </c>
      <c r="J25" s="36">
        <f t="shared" si="0"/>
        <v>0</v>
      </c>
      <c r="K25" s="36">
        <f t="shared" si="1"/>
        <v>0</v>
      </c>
    </row>
    <row r="26" spans="2:11" ht="25.5" customHeight="1" x14ac:dyDescent="0.25">
      <c r="B26" s="3"/>
      <c r="C26" s="3"/>
      <c r="D26" s="3"/>
      <c r="E26" s="3">
        <v>6631</v>
      </c>
      <c r="F26" s="7" t="s">
        <v>57</v>
      </c>
      <c r="G26" s="31">
        <v>2600</v>
      </c>
      <c r="H26" s="31">
        <v>1000</v>
      </c>
      <c r="I26" s="36">
        <v>0</v>
      </c>
      <c r="J26" s="36">
        <f t="shared" si="0"/>
        <v>0</v>
      </c>
      <c r="K26" s="36">
        <f t="shared" si="1"/>
        <v>0</v>
      </c>
    </row>
    <row r="27" spans="2:11" ht="25.5" customHeight="1" x14ac:dyDescent="0.25">
      <c r="B27" s="3"/>
      <c r="C27" s="3"/>
      <c r="D27" s="3"/>
      <c r="E27" s="3">
        <v>6632</v>
      </c>
      <c r="F27" s="7" t="s">
        <v>58</v>
      </c>
      <c r="G27" s="31">
        <v>2201.2399999999998</v>
      </c>
      <c r="H27" s="31">
        <v>0</v>
      </c>
      <c r="I27" s="36">
        <v>0</v>
      </c>
      <c r="J27" s="36">
        <f t="shared" si="0"/>
        <v>0</v>
      </c>
      <c r="K27" s="36" t="e">
        <f t="shared" si="1"/>
        <v>#DIV/0!</v>
      </c>
    </row>
    <row r="28" spans="2:11" ht="25.5" customHeight="1" x14ac:dyDescent="0.25">
      <c r="B28" s="3"/>
      <c r="C28" s="3">
        <v>67</v>
      </c>
      <c r="D28" s="3"/>
      <c r="E28" s="3"/>
      <c r="F28" s="7" t="s">
        <v>59</v>
      </c>
      <c r="G28" s="31">
        <f>G29</f>
        <v>125910.28</v>
      </c>
      <c r="H28" s="31">
        <f>H29</f>
        <v>132936.34</v>
      </c>
      <c r="I28" s="36">
        <f>I29</f>
        <v>154674.38</v>
      </c>
      <c r="J28" s="36">
        <f t="shared" si="0"/>
        <v>122.84491782561359</v>
      </c>
      <c r="K28" s="36">
        <f t="shared" si="1"/>
        <v>116.35221791121977</v>
      </c>
    </row>
    <row r="29" spans="2:11" ht="25.5" customHeight="1" x14ac:dyDescent="0.25">
      <c r="B29" s="3"/>
      <c r="C29" s="3"/>
      <c r="D29" s="3">
        <v>671</v>
      </c>
      <c r="E29" s="3"/>
      <c r="F29" s="7" t="s">
        <v>60</v>
      </c>
      <c r="G29" s="31">
        <f>G30+G31</f>
        <v>125910.28</v>
      </c>
      <c r="H29" s="31">
        <f>H30+H31</f>
        <v>132936.34</v>
      </c>
      <c r="I29" s="36">
        <f>I30+I31</f>
        <v>154674.38</v>
      </c>
      <c r="J29" s="36">
        <f t="shared" si="0"/>
        <v>122.84491782561359</v>
      </c>
      <c r="K29" s="36">
        <f t="shared" si="1"/>
        <v>116.35221791121977</v>
      </c>
    </row>
    <row r="30" spans="2:11" ht="25.5" customHeight="1" x14ac:dyDescent="0.25">
      <c r="B30" s="3"/>
      <c r="C30" s="3"/>
      <c r="D30" s="3"/>
      <c r="E30" s="3">
        <v>6711</v>
      </c>
      <c r="F30" s="7" t="s">
        <v>61</v>
      </c>
      <c r="G30" s="31">
        <v>125910.28</v>
      </c>
      <c r="H30" s="31">
        <v>132936.34</v>
      </c>
      <c r="I30" s="36">
        <v>153674.38</v>
      </c>
      <c r="J30" s="36">
        <f t="shared" si="0"/>
        <v>122.0507014995122</v>
      </c>
      <c r="K30" s="36">
        <f t="shared" si="1"/>
        <v>115.59997815495748</v>
      </c>
    </row>
    <row r="31" spans="2:11" ht="25.5" customHeight="1" x14ac:dyDescent="0.25">
      <c r="B31" s="3"/>
      <c r="C31" s="3"/>
      <c r="D31" s="3"/>
      <c r="E31" s="3">
        <v>6712</v>
      </c>
      <c r="F31" s="7" t="s">
        <v>62</v>
      </c>
      <c r="G31" s="31">
        <v>0</v>
      </c>
      <c r="H31" s="31">
        <v>0</v>
      </c>
      <c r="I31" s="36">
        <v>1000</v>
      </c>
      <c r="J31" s="36" t="e">
        <f t="shared" si="0"/>
        <v>#DIV/0!</v>
      </c>
      <c r="K31" s="36" t="e">
        <f t="shared" si="1"/>
        <v>#DIV/0!</v>
      </c>
    </row>
    <row r="32" spans="2:11" x14ac:dyDescent="0.25">
      <c r="B32" s="11">
        <v>7</v>
      </c>
      <c r="C32" s="3"/>
      <c r="D32" s="4"/>
      <c r="E32" s="4"/>
      <c r="F32" s="2" t="s">
        <v>16</v>
      </c>
      <c r="G32" s="34">
        <f>G33</f>
        <v>0</v>
      </c>
      <c r="H32" s="34">
        <f>H33</f>
        <v>0</v>
      </c>
      <c r="I32" s="34">
        <v>0</v>
      </c>
      <c r="J32" s="36" t="e">
        <f t="shared" si="0"/>
        <v>#DIV/0!</v>
      </c>
      <c r="K32" s="36" t="e">
        <f t="shared" si="1"/>
        <v>#DIV/0!</v>
      </c>
    </row>
    <row r="33" spans="2:11" ht="30.75" customHeight="1" x14ac:dyDescent="0.25">
      <c r="B33" s="3"/>
      <c r="C33" s="3">
        <v>72</v>
      </c>
      <c r="D33" s="4"/>
      <c r="E33" s="4"/>
      <c r="F33" s="18" t="s">
        <v>17</v>
      </c>
      <c r="G33" s="31">
        <v>0</v>
      </c>
      <c r="H33" s="31">
        <v>0</v>
      </c>
      <c r="I33" s="36">
        <v>0</v>
      </c>
      <c r="J33" s="36" t="e">
        <f t="shared" si="0"/>
        <v>#DIV/0!</v>
      </c>
      <c r="K33" s="36" t="e">
        <f t="shared" si="1"/>
        <v>#DIV/0!</v>
      </c>
    </row>
    <row r="34" spans="2:11" x14ac:dyDescent="0.25">
      <c r="B34" s="3"/>
      <c r="C34" s="3"/>
      <c r="D34" s="3">
        <v>721</v>
      </c>
      <c r="E34" s="3"/>
      <c r="F34" s="18" t="s">
        <v>24</v>
      </c>
      <c r="G34" s="31">
        <v>0</v>
      </c>
      <c r="H34" s="31">
        <v>0</v>
      </c>
      <c r="I34" s="36">
        <v>0</v>
      </c>
      <c r="J34" s="36" t="e">
        <f t="shared" si="0"/>
        <v>#DIV/0!</v>
      </c>
      <c r="K34" s="36" t="e">
        <f t="shared" si="1"/>
        <v>#DIV/0!</v>
      </c>
    </row>
    <row r="35" spans="2:11" x14ac:dyDescent="0.25">
      <c r="B35" s="3"/>
      <c r="C35" s="3"/>
      <c r="D35" s="3"/>
      <c r="E35" s="3">
        <v>7211</v>
      </c>
      <c r="F35" s="18" t="s">
        <v>25</v>
      </c>
      <c r="G35" s="31">
        <v>0</v>
      </c>
      <c r="H35" s="31">
        <v>0</v>
      </c>
      <c r="I35" s="36">
        <v>0</v>
      </c>
      <c r="J35" s="36" t="e">
        <f t="shared" si="0"/>
        <v>#DIV/0!</v>
      </c>
      <c r="K35" s="36" t="e">
        <f t="shared" si="1"/>
        <v>#DIV/0!</v>
      </c>
    </row>
    <row r="36" spans="2:11" x14ac:dyDescent="0.25">
      <c r="B36" s="11">
        <v>9</v>
      </c>
      <c r="C36" s="3"/>
      <c r="D36" s="3"/>
      <c r="E36" s="3"/>
      <c r="F36" s="138" t="s">
        <v>186</v>
      </c>
      <c r="G36" s="35">
        <f>G39</f>
        <v>24236.09</v>
      </c>
      <c r="H36" s="35">
        <f t="shared" ref="H36" si="3">H37</f>
        <v>5000</v>
      </c>
      <c r="I36" s="37">
        <f>I39</f>
        <v>4492.68</v>
      </c>
      <c r="J36" s="36">
        <f t="shared" si="0"/>
        <v>18.537148525195278</v>
      </c>
      <c r="K36" s="36">
        <f t="shared" si="1"/>
        <v>89.853600000000014</v>
      </c>
    </row>
    <row r="37" spans="2:11" x14ac:dyDescent="0.25">
      <c r="B37" s="3"/>
      <c r="C37" s="3">
        <v>92</v>
      </c>
      <c r="D37" s="3"/>
      <c r="E37" s="3"/>
      <c r="F37" s="18" t="s">
        <v>187</v>
      </c>
      <c r="G37" s="31">
        <v>0</v>
      </c>
      <c r="H37" s="31">
        <f>H38</f>
        <v>5000</v>
      </c>
      <c r="I37" s="36">
        <v>0</v>
      </c>
      <c r="J37" s="36" t="e">
        <f t="shared" si="0"/>
        <v>#DIV/0!</v>
      </c>
      <c r="K37" s="36">
        <f t="shared" si="1"/>
        <v>0</v>
      </c>
    </row>
    <row r="38" spans="2:11" x14ac:dyDescent="0.25">
      <c r="B38" s="3"/>
      <c r="C38" s="3"/>
      <c r="D38" s="3">
        <v>92211</v>
      </c>
      <c r="E38" s="3"/>
      <c r="F38" s="18" t="s">
        <v>188</v>
      </c>
      <c r="G38" s="31">
        <v>0</v>
      </c>
      <c r="H38" s="31">
        <v>5000</v>
      </c>
      <c r="I38" s="36">
        <v>0</v>
      </c>
      <c r="J38" s="36" t="e">
        <f>I38/G38*100</f>
        <v>#DIV/0!</v>
      </c>
      <c r="K38" s="36">
        <f>I38/H38*100</f>
        <v>0</v>
      </c>
    </row>
    <row r="39" spans="2:11" x14ac:dyDescent="0.25">
      <c r="B39" s="3"/>
      <c r="C39" s="3"/>
      <c r="D39" s="3">
        <v>92221</v>
      </c>
      <c r="E39" s="3"/>
      <c r="F39" s="18" t="s">
        <v>191</v>
      </c>
      <c r="G39" s="31">
        <v>24236.09</v>
      </c>
      <c r="H39" s="31">
        <v>0</v>
      </c>
      <c r="I39" s="36">
        <v>4492.68</v>
      </c>
      <c r="J39" s="36">
        <f t="shared" si="0"/>
        <v>18.537148525195278</v>
      </c>
      <c r="K39" s="36" t="e">
        <f t="shared" si="1"/>
        <v>#DIV/0!</v>
      </c>
    </row>
    <row r="40" spans="2:11" ht="18" x14ac:dyDescent="0.25">
      <c r="B40" s="181"/>
      <c r="C40" s="181"/>
      <c r="D40" s="181"/>
      <c r="E40" s="181"/>
      <c r="F40" s="181"/>
      <c r="G40" s="181"/>
      <c r="H40" s="181"/>
      <c r="I40" s="181"/>
      <c r="J40" s="181"/>
      <c r="K40" s="181"/>
    </row>
    <row r="41" spans="2:11" ht="36.75" customHeight="1" x14ac:dyDescent="0.25">
      <c r="B41" s="185" t="s">
        <v>7</v>
      </c>
      <c r="C41" s="186"/>
      <c r="D41" s="186"/>
      <c r="E41" s="186"/>
      <c r="F41" s="187"/>
      <c r="G41" s="23" t="s">
        <v>190</v>
      </c>
      <c r="H41" s="23" t="s">
        <v>209</v>
      </c>
      <c r="I41" s="23" t="s">
        <v>210</v>
      </c>
      <c r="J41" s="23" t="s">
        <v>18</v>
      </c>
      <c r="K41" s="23" t="s">
        <v>37</v>
      </c>
    </row>
    <row r="42" spans="2:11" x14ac:dyDescent="0.25">
      <c r="B42" s="182">
        <v>1</v>
      </c>
      <c r="C42" s="183"/>
      <c r="D42" s="183"/>
      <c r="E42" s="183"/>
      <c r="F42" s="184"/>
      <c r="G42" s="24">
        <v>2</v>
      </c>
      <c r="H42" s="24">
        <v>3</v>
      </c>
      <c r="I42" s="24">
        <v>5</v>
      </c>
      <c r="J42" s="24" t="s">
        <v>30</v>
      </c>
      <c r="K42" s="24" t="s">
        <v>108</v>
      </c>
    </row>
    <row r="43" spans="2:11" x14ac:dyDescent="0.25">
      <c r="B43" s="2"/>
      <c r="C43" s="2"/>
      <c r="D43" s="2"/>
      <c r="E43" s="2"/>
      <c r="F43" s="2" t="s">
        <v>35</v>
      </c>
      <c r="G43" s="35">
        <f>G44+G89</f>
        <v>790064.73</v>
      </c>
      <c r="H43" s="35">
        <f>H44+H89</f>
        <v>1259786.21</v>
      </c>
      <c r="I43" s="37">
        <f>I44+I89</f>
        <v>863794.92</v>
      </c>
      <c r="J43" s="36">
        <f>I43/G43*100</f>
        <v>109.33217079567645</v>
      </c>
      <c r="K43" s="36">
        <f>I43/H43*100</f>
        <v>68.566786423229715</v>
      </c>
    </row>
    <row r="44" spans="2:11" x14ac:dyDescent="0.25">
      <c r="B44" s="2">
        <v>3</v>
      </c>
      <c r="C44" s="2"/>
      <c r="D44" s="2"/>
      <c r="E44" s="2"/>
      <c r="F44" s="2" t="s">
        <v>4</v>
      </c>
      <c r="G44" s="35">
        <f>G45+G53+G82+G86</f>
        <v>761594.80999999994</v>
      </c>
      <c r="H44" s="35">
        <f>H45+H53+H82+H86</f>
        <v>1236486.21</v>
      </c>
      <c r="I44" s="37">
        <f>I45+I53+I82+I86</f>
        <v>862794.92</v>
      </c>
      <c r="J44" s="36">
        <f t="shared" ref="J44:J100" si="4">I44/G44*100</f>
        <v>113.28792012119936</v>
      </c>
      <c r="K44" s="36">
        <f t="shared" ref="K44:K100" si="5">I44/H44*100</f>
        <v>69.777965417018279</v>
      </c>
    </row>
    <row r="45" spans="2:11" x14ac:dyDescent="0.25">
      <c r="B45" s="2"/>
      <c r="C45" s="7">
        <v>31</v>
      </c>
      <c r="D45" s="7"/>
      <c r="E45" s="7"/>
      <c r="F45" s="7" t="s">
        <v>5</v>
      </c>
      <c r="G45" s="31">
        <f>G46+G48+G50</f>
        <v>586385.96</v>
      </c>
      <c r="H45" s="31">
        <f>SUM(H46+H48+H50)</f>
        <v>940000</v>
      </c>
      <c r="I45" s="36">
        <f>I46+I48+I50</f>
        <v>666624.84000000008</v>
      </c>
      <c r="J45" s="36">
        <f t="shared" si="4"/>
        <v>113.68362912372598</v>
      </c>
      <c r="K45" s="36">
        <f t="shared" si="5"/>
        <v>70.91753617021277</v>
      </c>
    </row>
    <row r="46" spans="2:11" x14ac:dyDescent="0.25">
      <c r="B46" s="3"/>
      <c r="C46" s="3"/>
      <c r="D46" s="3">
        <v>311</v>
      </c>
      <c r="E46" s="3"/>
      <c r="F46" s="3" t="s">
        <v>26</v>
      </c>
      <c r="G46" s="31">
        <f>G47</f>
        <v>486298.95</v>
      </c>
      <c r="H46" s="31">
        <f>H47</f>
        <v>750000</v>
      </c>
      <c r="I46" s="36">
        <f>I47</f>
        <v>566851.80000000005</v>
      </c>
      <c r="J46" s="36">
        <f t="shared" si="4"/>
        <v>116.56447129898184</v>
      </c>
      <c r="K46" s="36">
        <f t="shared" si="5"/>
        <v>75.580240000000003</v>
      </c>
    </row>
    <row r="47" spans="2:11" x14ac:dyDescent="0.25">
      <c r="B47" s="3"/>
      <c r="C47" s="3"/>
      <c r="D47" s="3"/>
      <c r="E47" s="3">
        <v>3111</v>
      </c>
      <c r="F47" s="3" t="s">
        <v>27</v>
      </c>
      <c r="G47" s="31">
        <v>486298.95</v>
      </c>
      <c r="H47" s="31">
        <f>750000</f>
        <v>750000</v>
      </c>
      <c r="I47" s="36">
        <f>537356.3+245.5+4950+24300</f>
        <v>566851.80000000005</v>
      </c>
      <c r="J47" s="36">
        <f t="shared" si="4"/>
        <v>116.56447129898184</v>
      </c>
      <c r="K47" s="36">
        <f t="shared" si="5"/>
        <v>75.580240000000003</v>
      </c>
    </row>
    <row r="48" spans="2:11" x14ac:dyDescent="0.25">
      <c r="B48" s="3"/>
      <c r="C48" s="3"/>
      <c r="D48" s="3">
        <v>312</v>
      </c>
      <c r="E48" s="3"/>
      <c r="F48" s="3" t="s">
        <v>63</v>
      </c>
      <c r="G48" s="31">
        <f>G49</f>
        <v>19847.64</v>
      </c>
      <c r="H48" s="31">
        <f>H49</f>
        <v>40000</v>
      </c>
      <c r="I48" s="36">
        <f>I49</f>
        <v>6282.88</v>
      </c>
      <c r="J48" s="36">
        <f t="shared" si="4"/>
        <v>31.655551995098662</v>
      </c>
      <c r="K48" s="36">
        <f t="shared" si="5"/>
        <v>15.707199999999998</v>
      </c>
    </row>
    <row r="49" spans="2:11" x14ac:dyDescent="0.25">
      <c r="B49" s="3"/>
      <c r="C49" s="3"/>
      <c r="D49" s="3"/>
      <c r="E49" s="3">
        <v>3121</v>
      </c>
      <c r="F49" s="3" t="s">
        <v>63</v>
      </c>
      <c r="G49" s="31">
        <v>19847.64</v>
      </c>
      <c r="H49" s="31">
        <f>40000</f>
        <v>40000</v>
      </c>
      <c r="I49" s="36">
        <f>5782.88+500</f>
        <v>6282.88</v>
      </c>
      <c r="J49" s="36">
        <f t="shared" si="4"/>
        <v>31.655551995098662</v>
      </c>
      <c r="K49" s="36">
        <f t="shared" si="5"/>
        <v>15.707199999999998</v>
      </c>
    </row>
    <row r="50" spans="2:11" x14ac:dyDescent="0.25">
      <c r="B50" s="3"/>
      <c r="C50" s="3"/>
      <c r="D50" s="3">
        <v>313</v>
      </c>
      <c r="E50" s="3"/>
      <c r="F50" s="3" t="s">
        <v>109</v>
      </c>
      <c r="G50" s="31">
        <f>G51+G52</f>
        <v>80239.37</v>
      </c>
      <c r="H50" s="31">
        <f>H51+H52</f>
        <v>150000</v>
      </c>
      <c r="I50" s="36">
        <f>I51+I52</f>
        <v>93490.16</v>
      </c>
      <c r="J50" s="36">
        <f t="shared" si="4"/>
        <v>116.51407532237606</v>
      </c>
      <c r="K50" s="36">
        <f t="shared" si="5"/>
        <v>62.326773333333342</v>
      </c>
    </row>
    <row r="51" spans="2:11" x14ac:dyDescent="0.25">
      <c r="B51" s="3"/>
      <c r="C51" s="3"/>
      <c r="D51" s="3"/>
      <c r="E51" s="3">
        <v>3132</v>
      </c>
      <c r="F51" s="3" t="s">
        <v>64</v>
      </c>
      <c r="G51" s="31">
        <v>80239.37</v>
      </c>
      <c r="H51" s="31">
        <f>150000</f>
        <v>150000</v>
      </c>
      <c r="I51" s="36">
        <f>88663.86+816.75+4009.55</f>
        <v>93490.16</v>
      </c>
      <c r="J51" s="36">
        <f t="shared" si="4"/>
        <v>116.51407532237606</v>
      </c>
      <c r="K51" s="36">
        <f t="shared" si="5"/>
        <v>62.326773333333342</v>
      </c>
    </row>
    <row r="52" spans="2:11" ht="25.5" x14ac:dyDescent="0.25">
      <c r="B52" s="3"/>
      <c r="C52" s="3"/>
      <c r="D52" s="3"/>
      <c r="E52" s="3">
        <v>3133</v>
      </c>
      <c r="F52" s="18" t="s">
        <v>65</v>
      </c>
      <c r="G52" s="31">
        <v>0</v>
      </c>
      <c r="H52" s="31">
        <v>0</v>
      </c>
      <c r="I52" s="36">
        <v>0</v>
      </c>
      <c r="J52" s="36" t="e">
        <f t="shared" si="4"/>
        <v>#DIV/0!</v>
      </c>
      <c r="K52" s="36" t="e">
        <f t="shared" si="5"/>
        <v>#DIV/0!</v>
      </c>
    </row>
    <row r="53" spans="2:11" x14ac:dyDescent="0.25">
      <c r="B53" s="3"/>
      <c r="C53" s="3">
        <v>32</v>
      </c>
      <c r="D53" s="4"/>
      <c r="E53" s="4"/>
      <c r="F53" s="3" t="s">
        <v>10</v>
      </c>
      <c r="G53" s="31">
        <f>G54+G58+G65+G74</f>
        <v>175060.58</v>
      </c>
      <c r="H53" s="31">
        <f>H54+H58+H65+H74</f>
        <v>295834.21000000002</v>
      </c>
      <c r="I53" s="36">
        <f>I54+I58+I65+I74</f>
        <v>195585.12000000002</v>
      </c>
      <c r="J53" s="36">
        <f t="shared" si="4"/>
        <v>111.72424997106718</v>
      </c>
      <c r="K53" s="36">
        <f t="shared" si="5"/>
        <v>66.113084081790277</v>
      </c>
    </row>
    <row r="54" spans="2:11" x14ac:dyDescent="0.25">
      <c r="B54" s="3"/>
      <c r="C54" s="3"/>
      <c r="D54" s="3">
        <v>321</v>
      </c>
      <c r="E54" s="3"/>
      <c r="F54" s="3" t="s">
        <v>28</v>
      </c>
      <c r="G54" s="31">
        <f>G55+G56+G57</f>
        <v>24402.52</v>
      </c>
      <c r="H54" s="31">
        <f>H55+H56+H57</f>
        <v>65800</v>
      </c>
      <c r="I54" s="36">
        <f>I55+I56+I57</f>
        <v>25546.43</v>
      </c>
      <c r="J54" s="36">
        <f t="shared" si="4"/>
        <v>104.68767160112972</v>
      </c>
      <c r="K54" s="36">
        <f t="shared" si="5"/>
        <v>38.824361702127661</v>
      </c>
    </row>
    <row r="55" spans="2:11" x14ac:dyDescent="0.25">
      <c r="B55" s="3"/>
      <c r="C55" s="11"/>
      <c r="D55" s="3"/>
      <c r="E55" s="3">
        <v>3211</v>
      </c>
      <c r="F55" s="18" t="s">
        <v>29</v>
      </c>
      <c r="G55" s="31">
        <v>2264.13</v>
      </c>
      <c r="H55" s="31">
        <f>1000+3500</f>
        <v>4500</v>
      </c>
      <c r="I55" s="36">
        <f>1000+1316.51</f>
        <v>2316.5100000000002</v>
      </c>
      <c r="J55" s="36">
        <f t="shared" si="4"/>
        <v>102.31347139961045</v>
      </c>
      <c r="K55" s="36">
        <f t="shared" si="5"/>
        <v>51.478000000000002</v>
      </c>
    </row>
    <row r="56" spans="2:11" ht="25.5" x14ac:dyDescent="0.25">
      <c r="B56" s="3"/>
      <c r="C56" s="11"/>
      <c r="D56" s="4"/>
      <c r="E56" s="3">
        <v>3212</v>
      </c>
      <c r="F56" s="18" t="s">
        <v>66</v>
      </c>
      <c r="G56" s="31">
        <v>21540.79</v>
      </c>
      <c r="H56" s="31">
        <f>60000</f>
        <v>60000</v>
      </c>
      <c r="I56" s="36">
        <f>21160.15+1729.37</f>
        <v>22889.52</v>
      </c>
      <c r="J56" s="36">
        <f t="shared" si="4"/>
        <v>106.26128382478079</v>
      </c>
      <c r="K56" s="36">
        <f t="shared" si="5"/>
        <v>38.1492</v>
      </c>
    </row>
    <row r="57" spans="2:11" x14ac:dyDescent="0.25">
      <c r="B57" s="3"/>
      <c r="C57" s="11"/>
      <c r="D57" s="4"/>
      <c r="E57" s="3">
        <v>3214</v>
      </c>
      <c r="F57" s="18" t="s">
        <v>67</v>
      </c>
      <c r="G57" s="31">
        <v>597.6</v>
      </c>
      <c r="H57" s="31">
        <f>500+800</f>
        <v>1300</v>
      </c>
      <c r="I57" s="36">
        <f>225.2+115.2</f>
        <v>340.4</v>
      </c>
      <c r="J57" s="36">
        <f t="shared" si="4"/>
        <v>56.961178045515396</v>
      </c>
      <c r="K57" s="36">
        <f t="shared" si="5"/>
        <v>26.184615384615384</v>
      </c>
    </row>
    <row r="58" spans="2:11" x14ac:dyDescent="0.25">
      <c r="B58" s="3"/>
      <c r="C58" s="3"/>
      <c r="D58" s="3">
        <v>322</v>
      </c>
      <c r="E58" s="4"/>
      <c r="F58" s="3" t="s">
        <v>68</v>
      </c>
      <c r="G58" s="31">
        <f>G59+G60+G61+G62</f>
        <v>55753.810000000005</v>
      </c>
      <c r="H58" s="31">
        <f>H59+H60+H61+H62+H63+H64</f>
        <v>108237.87</v>
      </c>
      <c r="I58" s="36">
        <f>I59+I60+I61+I62+I63+I64</f>
        <v>53505.32</v>
      </c>
      <c r="J58" s="36">
        <f t="shared" si="4"/>
        <v>95.967109691696393</v>
      </c>
      <c r="K58" s="36">
        <f t="shared" si="5"/>
        <v>49.433086589749045</v>
      </c>
    </row>
    <row r="59" spans="2:11" x14ac:dyDescent="0.25">
      <c r="B59" s="3"/>
      <c r="C59" s="3"/>
      <c r="D59" s="3"/>
      <c r="E59" s="3">
        <v>3221</v>
      </c>
      <c r="F59" s="3" t="s">
        <v>69</v>
      </c>
      <c r="G59" s="31">
        <v>3867.69</v>
      </c>
      <c r="H59" s="31">
        <f>4000</f>
        <v>4000</v>
      </c>
      <c r="I59" s="36">
        <f>1675.78+121</f>
        <v>1796.78</v>
      </c>
      <c r="J59" s="36">
        <f t="shared" si="4"/>
        <v>46.456153414570451</v>
      </c>
      <c r="K59" s="36">
        <f t="shared" si="5"/>
        <v>44.919499999999999</v>
      </c>
    </row>
    <row r="60" spans="2:11" x14ac:dyDescent="0.25">
      <c r="B60" s="3"/>
      <c r="C60" s="3"/>
      <c r="D60" s="3"/>
      <c r="E60" s="3">
        <v>3222</v>
      </c>
      <c r="F60" s="3" t="s">
        <v>70</v>
      </c>
      <c r="G60" s="31">
        <v>37694.33</v>
      </c>
      <c r="H60" s="31">
        <f>4000+3000+2000+537.87+1000+70000</f>
        <v>80537.87</v>
      </c>
      <c r="I60" s="36">
        <f>2072.41+131.91+679.21+3475.68+120+26761.03</f>
        <v>33240.239999999998</v>
      </c>
      <c r="J60" s="36">
        <f t="shared" si="4"/>
        <v>88.183660513398152</v>
      </c>
      <c r="K60" s="36">
        <f t="shared" si="5"/>
        <v>41.27280743828959</v>
      </c>
    </row>
    <row r="61" spans="2:11" x14ac:dyDescent="0.25">
      <c r="B61" s="3"/>
      <c r="C61" s="3"/>
      <c r="D61" s="3"/>
      <c r="E61" s="3">
        <v>3223</v>
      </c>
      <c r="F61" s="3" t="s">
        <v>71</v>
      </c>
      <c r="G61" s="31">
        <v>13791.91</v>
      </c>
      <c r="H61" s="31">
        <f>5000+16000</f>
        <v>21000</v>
      </c>
      <c r="I61" s="36">
        <f>4673.25+13353.25</f>
        <v>18026.5</v>
      </c>
      <c r="J61" s="36">
        <f t="shared" si="4"/>
        <v>130.70343411463676</v>
      </c>
      <c r="K61" s="36">
        <f t="shared" si="5"/>
        <v>85.840476190476195</v>
      </c>
    </row>
    <row r="62" spans="2:11" ht="25.5" x14ac:dyDescent="0.25">
      <c r="B62" s="3"/>
      <c r="C62" s="3"/>
      <c r="D62" s="3"/>
      <c r="E62" s="3">
        <v>3224</v>
      </c>
      <c r="F62" s="18" t="s">
        <v>72</v>
      </c>
      <c r="G62" s="31">
        <v>399.88</v>
      </c>
      <c r="H62" s="31">
        <f>2000</f>
        <v>2000</v>
      </c>
      <c r="I62" s="36">
        <f>322.8</f>
        <v>322.8</v>
      </c>
      <c r="J62" s="36">
        <f t="shared" si="4"/>
        <v>80.724217265179561</v>
      </c>
      <c r="K62" s="36">
        <f t="shared" si="5"/>
        <v>16.14</v>
      </c>
    </row>
    <row r="63" spans="2:11" x14ac:dyDescent="0.25">
      <c r="B63" s="3"/>
      <c r="C63" s="3"/>
      <c r="D63" s="3"/>
      <c r="E63" s="3">
        <v>3225</v>
      </c>
      <c r="F63" s="3" t="s">
        <v>73</v>
      </c>
      <c r="G63" s="31">
        <v>0</v>
      </c>
      <c r="H63" s="31">
        <f>200+500</f>
        <v>700</v>
      </c>
      <c r="I63" s="36">
        <f>119</f>
        <v>119</v>
      </c>
      <c r="J63" s="36" t="e">
        <f t="shared" si="4"/>
        <v>#DIV/0!</v>
      </c>
      <c r="K63" s="36">
        <f t="shared" si="5"/>
        <v>17</v>
      </c>
    </row>
    <row r="64" spans="2:11" x14ac:dyDescent="0.25">
      <c r="B64" s="3"/>
      <c r="C64" s="3"/>
      <c r="D64" s="3"/>
      <c r="E64" s="3">
        <v>3227</v>
      </c>
      <c r="F64" s="3" t="s">
        <v>74</v>
      </c>
      <c r="G64" s="31">
        <v>0</v>
      </c>
      <c r="H64" s="31">
        <v>0</v>
      </c>
      <c r="I64" s="36">
        <v>0</v>
      </c>
      <c r="J64" s="36" t="e">
        <f t="shared" si="4"/>
        <v>#DIV/0!</v>
      </c>
      <c r="K64" s="36" t="e">
        <f t="shared" si="5"/>
        <v>#DIV/0!</v>
      </c>
    </row>
    <row r="65" spans="2:11" x14ac:dyDescent="0.25">
      <c r="B65" s="3"/>
      <c r="C65" s="3"/>
      <c r="D65" s="3">
        <v>323</v>
      </c>
      <c r="E65" s="3"/>
      <c r="F65" s="3" t="s">
        <v>75</v>
      </c>
      <c r="G65" s="31">
        <f>G66+G67+G68+G69+G70+G71+G72+G73</f>
        <v>84728.92</v>
      </c>
      <c r="H65" s="31">
        <f>SUM(H66:H73)</f>
        <v>107815.63</v>
      </c>
      <c r="I65" s="36">
        <f>I66+I67+I68+I69+I70+I71+I72+I73</f>
        <v>111602.53000000001</v>
      </c>
      <c r="J65" s="36">
        <f t="shared" si="4"/>
        <v>131.717163395922</v>
      </c>
      <c r="K65" s="36">
        <f t="shared" si="5"/>
        <v>103.51238498536807</v>
      </c>
    </row>
    <row r="66" spans="2:11" x14ac:dyDescent="0.25">
      <c r="B66" s="3"/>
      <c r="C66" s="3"/>
      <c r="D66" s="3"/>
      <c r="E66" s="3">
        <v>3231</v>
      </c>
      <c r="F66" s="3" t="s">
        <v>76</v>
      </c>
      <c r="G66" s="31">
        <v>4913.09</v>
      </c>
      <c r="H66" s="31">
        <f>4500+2000</f>
        <v>6500</v>
      </c>
      <c r="I66" s="36">
        <f>1212.21</f>
        <v>1212.21</v>
      </c>
      <c r="J66" s="36">
        <f t="shared" si="4"/>
        <v>24.673067255026876</v>
      </c>
      <c r="K66" s="36">
        <f t="shared" si="5"/>
        <v>18.649384615384616</v>
      </c>
    </row>
    <row r="67" spans="2:11" x14ac:dyDescent="0.25">
      <c r="B67" s="3"/>
      <c r="C67" s="3"/>
      <c r="D67" s="3"/>
      <c r="E67" s="3">
        <v>3232</v>
      </c>
      <c r="F67" s="3" t="s">
        <v>77</v>
      </c>
      <c r="G67" s="31">
        <v>5592.93</v>
      </c>
      <c r="H67" s="31">
        <f>3500+2000</f>
        <v>5500</v>
      </c>
      <c r="I67" s="36">
        <f>2453.82+13596.65+656.25</f>
        <v>16706.72</v>
      </c>
      <c r="J67" s="36">
        <f t="shared" si="4"/>
        <v>298.71140886798156</v>
      </c>
      <c r="K67" s="36">
        <f t="shared" si="5"/>
        <v>303.75854545454547</v>
      </c>
    </row>
    <row r="68" spans="2:11" x14ac:dyDescent="0.25">
      <c r="B68" s="3"/>
      <c r="C68" s="3"/>
      <c r="D68" s="3"/>
      <c r="E68" s="3">
        <v>3234</v>
      </c>
      <c r="F68" s="3" t="s">
        <v>78</v>
      </c>
      <c r="G68" s="31">
        <v>4577.5600000000004</v>
      </c>
      <c r="H68" s="31">
        <f>6000+3000</f>
        <v>9000</v>
      </c>
      <c r="I68" s="36">
        <f>4543.47</f>
        <v>4543.47</v>
      </c>
      <c r="J68" s="36">
        <f t="shared" si="4"/>
        <v>99.255280105558413</v>
      </c>
      <c r="K68" s="36">
        <f t="shared" si="5"/>
        <v>50.482999999999997</v>
      </c>
    </row>
    <row r="69" spans="2:11" x14ac:dyDescent="0.25">
      <c r="B69" s="3"/>
      <c r="C69" s="3"/>
      <c r="D69" s="3"/>
      <c r="E69" s="3">
        <v>3235</v>
      </c>
      <c r="F69" s="3" t="s">
        <v>79</v>
      </c>
      <c r="G69" s="31">
        <v>66853.48</v>
      </c>
      <c r="H69" s="31">
        <f>78115.63</f>
        <v>78115.63</v>
      </c>
      <c r="I69" s="36">
        <f>60234.96+22260.36+518.4+1699.2</f>
        <v>84712.92</v>
      </c>
      <c r="J69" s="36">
        <f t="shared" si="4"/>
        <v>126.71430118521879</v>
      </c>
      <c r="K69" s="36">
        <f t="shared" si="5"/>
        <v>108.44554412478014</v>
      </c>
    </row>
    <row r="70" spans="2:11" x14ac:dyDescent="0.25">
      <c r="B70" s="3"/>
      <c r="C70" s="3"/>
      <c r="D70" s="3"/>
      <c r="E70" s="3">
        <v>3236</v>
      </c>
      <c r="F70" s="3" t="s">
        <v>80</v>
      </c>
      <c r="G70" s="31">
        <v>791.57</v>
      </c>
      <c r="H70" s="31">
        <f>4000</f>
        <v>4000</v>
      </c>
      <c r="I70" s="36">
        <f>261.5</f>
        <v>261.5</v>
      </c>
      <c r="J70" s="36">
        <f t="shared" si="4"/>
        <v>33.035612769559229</v>
      </c>
      <c r="K70" s="36">
        <f t="shared" si="5"/>
        <v>6.5375000000000005</v>
      </c>
    </row>
    <row r="71" spans="2:11" x14ac:dyDescent="0.25">
      <c r="B71" s="3"/>
      <c r="C71" s="3"/>
      <c r="D71" s="3"/>
      <c r="E71" s="3">
        <v>3237</v>
      </c>
      <c r="F71" s="3" t="s">
        <v>81</v>
      </c>
      <c r="G71" s="31">
        <v>0</v>
      </c>
      <c r="H71" s="31">
        <v>0</v>
      </c>
      <c r="I71" s="36">
        <f>1375+822.75</f>
        <v>2197.75</v>
      </c>
      <c r="J71" s="36" t="e">
        <f t="shared" si="4"/>
        <v>#DIV/0!</v>
      </c>
      <c r="K71" s="36" t="e">
        <f t="shared" si="5"/>
        <v>#DIV/0!</v>
      </c>
    </row>
    <row r="72" spans="2:11" x14ac:dyDescent="0.25">
      <c r="B72" s="3"/>
      <c r="C72" s="3"/>
      <c r="D72" s="3"/>
      <c r="E72" s="3">
        <v>3238</v>
      </c>
      <c r="F72" s="3" t="s">
        <v>82</v>
      </c>
      <c r="G72" s="31">
        <v>1945.29</v>
      </c>
      <c r="H72" s="31">
        <f>3000+1500</f>
        <v>4500</v>
      </c>
      <c r="I72" s="36">
        <f>1967.96</f>
        <v>1967.96</v>
      </c>
      <c r="J72" s="36">
        <f t="shared" si="4"/>
        <v>101.16537894092912</v>
      </c>
      <c r="K72" s="36">
        <f t="shared" si="5"/>
        <v>43.732444444444447</v>
      </c>
    </row>
    <row r="73" spans="2:11" x14ac:dyDescent="0.25">
      <c r="B73" s="3"/>
      <c r="C73" s="3"/>
      <c r="D73" s="3"/>
      <c r="E73" s="3">
        <v>3239</v>
      </c>
      <c r="F73" s="3" t="s">
        <v>83</v>
      </c>
      <c r="G73" s="31">
        <v>55</v>
      </c>
      <c r="H73" s="31">
        <f>200</f>
        <v>200</v>
      </c>
      <c r="I73" s="36">
        <v>0</v>
      </c>
      <c r="J73" s="36">
        <f t="shared" si="4"/>
        <v>0</v>
      </c>
      <c r="K73" s="36">
        <f t="shared" si="5"/>
        <v>0</v>
      </c>
    </row>
    <row r="74" spans="2:11" x14ac:dyDescent="0.25">
      <c r="B74" s="3"/>
      <c r="C74" s="3"/>
      <c r="D74" s="3">
        <v>329</v>
      </c>
      <c r="E74" s="3"/>
      <c r="F74" s="3" t="s">
        <v>84</v>
      </c>
      <c r="G74" s="31">
        <f>SUM(G75:G81)</f>
        <v>10175.33</v>
      </c>
      <c r="H74" s="31">
        <f>SUM(H75:H81)</f>
        <v>13980.71</v>
      </c>
      <c r="I74" s="36">
        <f>I75+I76+I77+I78+I79+I80+I81</f>
        <v>4930.84</v>
      </c>
      <c r="J74" s="36">
        <f t="shared" si="4"/>
        <v>48.45877234448416</v>
      </c>
      <c r="K74" s="36">
        <f t="shared" si="5"/>
        <v>35.268881194159668</v>
      </c>
    </row>
    <row r="75" spans="2:11" ht="25.5" x14ac:dyDescent="0.25">
      <c r="B75" s="3"/>
      <c r="C75" s="3"/>
      <c r="D75" s="3"/>
      <c r="E75" s="3">
        <v>3291</v>
      </c>
      <c r="F75" s="18" t="s">
        <v>192</v>
      </c>
      <c r="G75" s="31">
        <v>543.45000000000005</v>
      </c>
      <c r="H75" s="31">
        <v>0</v>
      </c>
      <c r="I75" s="36">
        <v>0</v>
      </c>
      <c r="J75" s="36">
        <f t="shared" si="4"/>
        <v>0</v>
      </c>
      <c r="K75" s="36" t="e">
        <f t="shared" si="5"/>
        <v>#DIV/0!</v>
      </c>
    </row>
    <row r="76" spans="2:11" x14ac:dyDescent="0.25">
      <c r="B76" s="3"/>
      <c r="C76" s="3"/>
      <c r="D76" s="3"/>
      <c r="E76" s="3">
        <v>3292</v>
      </c>
      <c r="F76" s="3" t="s">
        <v>85</v>
      </c>
      <c r="G76" s="31">
        <v>517.62</v>
      </c>
      <c r="H76" s="31">
        <f>517.62</f>
        <v>517.62</v>
      </c>
      <c r="I76" s="36">
        <f>116.82</f>
        <v>116.82</v>
      </c>
      <c r="J76" s="36">
        <f t="shared" si="4"/>
        <v>22.568679726440244</v>
      </c>
      <c r="K76" s="36">
        <f t="shared" si="5"/>
        <v>22.568679726440244</v>
      </c>
    </row>
    <row r="77" spans="2:11" x14ac:dyDescent="0.25">
      <c r="B77" s="3"/>
      <c r="C77" s="3"/>
      <c r="D77" s="3"/>
      <c r="E77" s="3">
        <v>3293</v>
      </c>
      <c r="F77" s="3" t="s">
        <v>194</v>
      </c>
      <c r="G77" s="31">
        <v>399.8</v>
      </c>
      <c r="H77" s="31">
        <v>0</v>
      </c>
      <c r="I77" s="36">
        <v>0</v>
      </c>
      <c r="J77" s="36">
        <f t="shared" si="4"/>
        <v>0</v>
      </c>
      <c r="K77" s="36"/>
    </row>
    <row r="78" spans="2:11" x14ac:dyDescent="0.25">
      <c r="B78" s="3"/>
      <c r="C78" s="3"/>
      <c r="D78" s="3"/>
      <c r="E78" s="3">
        <v>3294</v>
      </c>
      <c r="F78" s="3" t="s">
        <v>86</v>
      </c>
      <c r="G78" s="31">
        <v>108.09</v>
      </c>
      <c r="H78" s="31">
        <f>163.09</f>
        <v>163.09</v>
      </c>
      <c r="I78" s="36">
        <f>125</f>
        <v>125</v>
      </c>
      <c r="J78" s="36">
        <f t="shared" si="4"/>
        <v>115.64437043204737</v>
      </c>
      <c r="K78" s="36">
        <f t="shared" si="5"/>
        <v>76.644797351155802</v>
      </c>
    </row>
    <row r="79" spans="2:11" x14ac:dyDescent="0.25">
      <c r="B79" s="3"/>
      <c r="C79" s="3"/>
      <c r="D79" s="3"/>
      <c r="E79" s="3">
        <v>3295</v>
      </c>
      <c r="F79" s="3" t="s">
        <v>103</v>
      </c>
      <c r="G79" s="31">
        <v>1960</v>
      </c>
      <c r="H79" s="31">
        <f>4100</f>
        <v>4100</v>
      </c>
      <c r="I79" s="36">
        <f>2276</f>
        <v>2276</v>
      </c>
      <c r="J79" s="36">
        <f t="shared" si="4"/>
        <v>116.12244897959184</v>
      </c>
      <c r="K79" s="36">
        <f t="shared" si="5"/>
        <v>55.512195121951223</v>
      </c>
    </row>
    <row r="80" spans="2:11" x14ac:dyDescent="0.25">
      <c r="B80" s="3"/>
      <c r="C80" s="3"/>
      <c r="D80" s="3"/>
      <c r="E80" s="3">
        <v>3296</v>
      </c>
      <c r="F80" s="3" t="s">
        <v>87</v>
      </c>
      <c r="G80" s="31">
        <v>0</v>
      </c>
      <c r="H80" s="31">
        <v>0</v>
      </c>
      <c r="I80" s="36">
        <v>0</v>
      </c>
      <c r="J80" s="36" t="e">
        <f t="shared" si="4"/>
        <v>#DIV/0!</v>
      </c>
      <c r="K80" s="36" t="e">
        <f t="shared" si="5"/>
        <v>#DIV/0!</v>
      </c>
    </row>
    <row r="81" spans="2:11" x14ac:dyDescent="0.25">
      <c r="B81" s="3"/>
      <c r="C81" s="3"/>
      <c r="D81" s="3"/>
      <c r="E81" s="3">
        <v>3299</v>
      </c>
      <c r="F81" s="3" t="s">
        <v>84</v>
      </c>
      <c r="G81" s="31">
        <v>6646.37</v>
      </c>
      <c r="H81" s="31">
        <f>200+1000+3000+2000+3000</f>
        <v>9200</v>
      </c>
      <c r="I81" s="36">
        <f>60+673.97+477.5+222+979.55</f>
        <v>2413.02</v>
      </c>
      <c r="J81" s="36">
        <f t="shared" si="4"/>
        <v>36.305833108900046</v>
      </c>
      <c r="K81" s="36">
        <f t="shared" si="5"/>
        <v>26.228478260869565</v>
      </c>
    </row>
    <row r="82" spans="2:11" x14ac:dyDescent="0.25">
      <c r="B82" s="3"/>
      <c r="C82" s="3">
        <v>34</v>
      </c>
      <c r="D82" s="3"/>
      <c r="E82" s="3"/>
      <c r="F82" s="3" t="s">
        <v>88</v>
      </c>
      <c r="G82" s="31">
        <f>G83</f>
        <v>26.14</v>
      </c>
      <c r="H82" s="31">
        <f>H83</f>
        <v>40</v>
      </c>
      <c r="I82" s="36">
        <f>I83</f>
        <v>9.9600000000000009</v>
      </c>
      <c r="J82" s="36">
        <f t="shared" si="4"/>
        <v>38.102524866105583</v>
      </c>
      <c r="K82" s="36">
        <f t="shared" si="5"/>
        <v>24.900000000000002</v>
      </c>
    </row>
    <row r="83" spans="2:11" x14ac:dyDescent="0.25">
      <c r="B83" s="3"/>
      <c r="C83" s="3"/>
      <c r="D83" s="3">
        <v>343</v>
      </c>
      <c r="E83" s="3"/>
      <c r="F83" s="3" t="s">
        <v>89</v>
      </c>
      <c r="G83" s="31">
        <f>G84+G85</f>
        <v>26.14</v>
      </c>
      <c r="H83" s="31">
        <f>H84+H85</f>
        <v>40</v>
      </c>
      <c r="I83" s="36">
        <f>I84+I85</f>
        <v>9.9600000000000009</v>
      </c>
      <c r="J83" s="36">
        <f t="shared" si="4"/>
        <v>38.102524866105583</v>
      </c>
      <c r="K83" s="36">
        <f t="shared" si="5"/>
        <v>24.900000000000002</v>
      </c>
    </row>
    <row r="84" spans="2:11" x14ac:dyDescent="0.25">
      <c r="B84" s="3"/>
      <c r="C84" s="3"/>
      <c r="D84" s="3"/>
      <c r="E84" s="3">
        <v>3431</v>
      </c>
      <c r="F84" s="3" t="s">
        <v>90</v>
      </c>
      <c r="G84" s="31">
        <v>26.14</v>
      </c>
      <c r="H84" s="31">
        <f>40</f>
        <v>40</v>
      </c>
      <c r="I84" s="36">
        <f>9.96</f>
        <v>9.9600000000000009</v>
      </c>
      <c r="J84" s="36">
        <f t="shared" si="4"/>
        <v>38.102524866105583</v>
      </c>
      <c r="K84" s="36">
        <f t="shared" si="5"/>
        <v>24.900000000000002</v>
      </c>
    </row>
    <row r="85" spans="2:11" x14ac:dyDescent="0.25">
      <c r="B85" s="3"/>
      <c r="C85" s="3"/>
      <c r="D85" s="3"/>
      <c r="E85" s="3">
        <v>3433</v>
      </c>
      <c r="F85" s="3" t="s">
        <v>91</v>
      </c>
      <c r="G85" s="31">
        <v>0</v>
      </c>
      <c r="H85" s="31">
        <v>0</v>
      </c>
      <c r="I85" s="36">
        <v>0</v>
      </c>
      <c r="J85" s="36" t="e">
        <f t="shared" si="4"/>
        <v>#DIV/0!</v>
      </c>
      <c r="K85" s="36" t="e">
        <f t="shared" si="5"/>
        <v>#DIV/0!</v>
      </c>
    </row>
    <row r="86" spans="2:11" x14ac:dyDescent="0.25">
      <c r="B86" s="3"/>
      <c r="C86" s="3">
        <v>38</v>
      </c>
      <c r="D86" s="3"/>
      <c r="E86" s="3"/>
      <c r="F86" s="3" t="s">
        <v>104</v>
      </c>
      <c r="G86" s="31">
        <f t="shared" ref="G86:I87" si="6">G87</f>
        <v>122.13</v>
      </c>
      <c r="H86" s="31">
        <f t="shared" si="6"/>
        <v>612</v>
      </c>
      <c r="I86" s="36">
        <f t="shared" si="6"/>
        <v>575</v>
      </c>
      <c r="J86" s="36">
        <f t="shared" si="4"/>
        <v>470.80979284369118</v>
      </c>
      <c r="K86" s="36">
        <f t="shared" si="5"/>
        <v>93.954248366013076</v>
      </c>
    </row>
    <row r="87" spans="2:11" x14ac:dyDescent="0.25">
      <c r="B87" s="3"/>
      <c r="C87" s="3"/>
      <c r="D87" s="3">
        <v>381</v>
      </c>
      <c r="E87" s="3"/>
      <c r="F87" s="3" t="s">
        <v>57</v>
      </c>
      <c r="G87" s="31">
        <f t="shared" si="6"/>
        <v>122.13</v>
      </c>
      <c r="H87" s="31">
        <f t="shared" si="6"/>
        <v>612</v>
      </c>
      <c r="I87" s="36">
        <f t="shared" si="6"/>
        <v>575</v>
      </c>
      <c r="J87" s="36">
        <f t="shared" si="4"/>
        <v>470.80979284369118</v>
      </c>
      <c r="K87" s="36">
        <f t="shared" si="5"/>
        <v>93.954248366013076</v>
      </c>
    </row>
    <row r="88" spans="2:11" x14ac:dyDescent="0.25">
      <c r="B88" s="3"/>
      <c r="C88" s="3"/>
      <c r="D88" s="3"/>
      <c r="E88" s="3">
        <v>3812</v>
      </c>
      <c r="F88" s="3" t="s">
        <v>105</v>
      </c>
      <c r="G88" s="31">
        <v>122.13</v>
      </c>
      <c r="H88" s="31">
        <v>612</v>
      </c>
      <c r="I88" s="36">
        <v>575</v>
      </c>
      <c r="J88" s="36">
        <f t="shared" si="4"/>
        <v>470.80979284369118</v>
      </c>
      <c r="K88" s="36">
        <f t="shared" si="5"/>
        <v>93.954248366013076</v>
      </c>
    </row>
    <row r="89" spans="2:11" x14ac:dyDescent="0.25">
      <c r="B89" s="5">
        <v>4</v>
      </c>
      <c r="C89" s="6"/>
      <c r="D89" s="6"/>
      <c r="E89" s="6"/>
      <c r="F89" s="9" t="s">
        <v>6</v>
      </c>
      <c r="G89" s="35">
        <f>G90</f>
        <v>28469.919999999998</v>
      </c>
      <c r="H89" s="35">
        <f>H90</f>
        <v>23300</v>
      </c>
      <c r="I89" s="37">
        <f>I90</f>
        <v>1000</v>
      </c>
      <c r="J89" s="36">
        <f t="shared" si="4"/>
        <v>3.5124791358739333</v>
      </c>
      <c r="K89" s="36">
        <f t="shared" si="5"/>
        <v>4.2918454935622314</v>
      </c>
    </row>
    <row r="90" spans="2:11" ht="23.25" customHeight="1" x14ac:dyDescent="0.25">
      <c r="B90" s="7"/>
      <c r="C90" s="7">
        <v>42</v>
      </c>
      <c r="D90" s="7"/>
      <c r="E90" s="7"/>
      <c r="F90" s="10" t="s">
        <v>92</v>
      </c>
      <c r="G90" s="31">
        <f>G91+G97+G99</f>
        <v>28469.919999999998</v>
      </c>
      <c r="H90" s="31">
        <f>H91+H97+H99</f>
        <v>23300</v>
      </c>
      <c r="I90" s="36">
        <f>I91+I97+I99</f>
        <v>1000</v>
      </c>
      <c r="J90" s="36">
        <f t="shared" si="4"/>
        <v>3.5124791358739333</v>
      </c>
      <c r="K90" s="36">
        <f t="shared" si="5"/>
        <v>4.2918454935622314</v>
      </c>
    </row>
    <row r="91" spans="2:11" x14ac:dyDescent="0.25">
      <c r="B91" s="7"/>
      <c r="C91" s="7"/>
      <c r="D91" s="3">
        <v>422</v>
      </c>
      <c r="E91" s="3"/>
      <c r="F91" s="3" t="s">
        <v>93</v>
      </c>
      <c r="G91" s="31">
        <f>SUM(G92:G96)</f>
        <v>14697.39</v>
      </c>
      <c r="H91" s="31">
        <f>H92+H93+H94</f>
        <v>4000</v>
      </c>
      <c r="I91" s="36">
        <v>0</v>
      </c>
      <c r="J91" s="36">
        <f t="shared" si="4"/>
        <v>0</v>
      </c>
      <c r="K91" s="36">
        <f t="shared" si="5"/>
        <v>0</v>
      </c>
    </row>
    <row r="92" spans="2:11" x14ac:dyDescent="0.25">
      <c r="B92" s="7"/>
      <c r="C92" s="7"/>
      <c r="D92" s="3"/>
      <c r="E92" s="3">
        <v>4221</v>
      </c>
      <c r="F92" s="3" t="s">
        <v>94</v>
      </c>
      <c r="G92" s="31">
        <v>13337.39</v>
      </c>
      <c r="H92" s="31">
        <f>500+2000</f>
        <v>2500</v>
      </c>
      <c r="I92" s="36">
        <v>0</v>
      </c>
      <c r="J92" s="36">
        <f t="shared" si="4"/>
        <v>0</v>
      </c>
      <c r="K92" s="36">
        <f t="shared" si="5"/>
        <v>0</v>
      </c>
    </row>
    <row r="93" spans="2:11" x14ac:dyDescent="0.25">
      <c r="B93" s="7"/>
      <c r="C93" s="7"/>
      <c r="D93" s="3"/>
      <c r="E93" s="3">
        <v>4222</v>
      </c>
      <c r="F93" s="3" t="s">
        <v>95</v>
      </c>
      <c r="G93" s="31">
        <v>0</v>
      </c>
      <c r="H93" s="31">
        <v>0</v>
      </c>
      <c r="I93" s="36">
        <v>0</v>
      </c>
      <c r="J93" s="36" t="e">
        <f t="shared" si="4"/>
        <v>#DIV/0!</v>
      </c>
      <c r="K93" s="36" t="e">
        <f t="shared" si="5"/>
        <v>#DIV/0!</v>
      </c>
    </row>
    <row r="94" spans="2:11" x14ac:dyDescent="0.25">
      <c r="B94" s="7"/>
      <c r="C94" s="7"/>
      <c r="D94" s="3"/>
      <c r="E94" s="3">
        <v>4223</v>
      </c>
      <c r="F94" s="3" t="s">
        <v>96</v>
      </c>
      <c r="G94" s="31">
        <v>1360</v>
      </c>
      <c r="H94" s="31">
        <f>1500</f>
        <v>1500</v>
      </c>
      <c r="I94" s="36">
        <v>0</v>
      </c>
      <c r="J94" s="36">
        <f t="shared" si="4"/>
        <v>0</v>
      </c>
      <c r="K94" s="36">
        <f t="shared" si="5"/>
        <v>0</v>
      </c>
    </row>
    <row r="95" spans="2:11" x14ac:dyDescent="0.25">
      <c r="B95" s="7"/>
      <c r="C95" s="7"/>
      <c r="D95" s="3"/>
      <c r="E95" s="3">
        <v>4226</v>
      </c>
      <c r="F95" s="3" t="s">
        <v>97</v>
      </c>
      <c r="G95" s="31">
        <v>0</v>
      </c>
      <c r="H95" s="31">
        <v>0</v>
      </c>
      <c r="I95" s="36">
        <v>0</v>
      </c>
      <c r="J95" s="36" t="e">
        <f t="shared" si="4"/>
        <v>#DIV/0!</v>
      </c>
      <c r="K95" s="36" t="e">
        <f t="shared" si="5"/>
        <v>#DIV/0!</v>
      </c>
    </row>
    <row r="96" spans="2:11" x14ac:dyDescent="0.25">
      <c r="B96" s="7"/>
      <c r="C96" s="7"/>
      <c r="D96" s="3"/>
      <c r="E96" s="3">
        <v>4227</v>
      </c>
      <c r="F96" s="3" t="s">
        <v>98</v>
      </c>
      <c r="G96" s="31">
        <v>0</v>
      </c>
      <c r="H96" s="31">
        <v>0</v>
      </c>
      <c r="I96" s="36">
        <v>0</v>
      </c>
      <c r="J96" s="36" t="e">
        <f t="shared" si="4"/>
        <v>#DIV/0!</v>
      </c>
      <c r="K96" s="36" t="e">
        <f t="shared" si="5"/>
        <v>#DIV/0!</v>
      </c>
    </row>
    <row r="97" spans="2:11" ht="25.5" x14ac:dyDescent="0.25">
      <c r="B97" s="7"/>
      <c r="C97" s="7"/>
      <c r="D97" s="3">
        <v>424</v>
      </c>
      <c r="E97" s="3"/>
      <c r="F97" s="18" t="s">
        <v>99</v>
      </c>
      <c r="G97" s="31">
        <f>G98</f>
        <v>13772.53</v>
      </c>
      <c r="H97" s="31">
        <f>H98</f>
        <v>19300</v>
      </c>
      <c r="I97" s="36">
        <v>0</v>
      </c>
      <c r="J97" s="36">
        <f t="shared" si="4"/>
        <v>0</v>
      </c>
      <c r="K97" s="36">
        <f t="shared" si="5"/>
        <v>0</v>
      </c>
    </row>
    <row r="98" spans="2:11" x14ac:dyDescent="0.25">
      <c r="B98" s="7"/>
      <c r="C98" s="7"/>
      <c r="D98" s="3"/>
      <c r="E98" s="3">
        <v>4241</v>
      </c>
      <c r="F98" s="3" t="s">
        <v>100</v>
      </c>
      <c r="G98" s="31">
        <v>13772.53</v>
      </c>
      <c r="H98" s="31">
        <f>300+19000</f>
        <v>19300</v>
      </c>
      <c r="I98" s="36">
        <v>0</v>
      </c>
      <c r="J98" s="36">
        <f t="shared" si="4"/>
        <v>0</v>
      </c>
      <c r="K98" s="36">
        <f t="shared" si="5"/>
        <v>0</v>
      </c>
    </row>
    <row r="99" spans="2:11" x14ac:dyDescent="0.25">
      <c r="B99" s="20"/>
      <c r="C99" s="20"/>
      <c r="D99" s="38">
        <v>426</v>
      </c>
      <c r="E99" s="20"/>
      <c r="F99" s="38" t="s">
        <v>106</v>
      </c>
      <c r="G99" s="39">
        <f>0</f>
        <v>0</v>
      </c>
      <c r="H99" s="39">
        <v>0</v>
      </c>
      <c r="I99" s="39">
        <f>I100</f>
        <v>1000</v>
      </c>
      <c r="J99" s="36" t="e">
        <f t="shared" si="4"/>
        <v>#DIV/0!</v>
      </c>
      <c r="K99" s="36" t="e">
        <f t="shared" si="5"/>
        <v>#DIV/0!</v>
      </c>
    </row>
    <row r="100" spans="2:11" x14ac:dyDescent="0.25">
      <c r="B100" s="20"/>
      <c r="C100" s="20"/>
      <c r="D100" s="20"/>
      <c r="E100" s="38">
        <v>4264</v>
      </c>
      <c r="F100" s="38" t="s">
        <v>107</v>
      </c>
      <c r="G100" s="39">
        <v>0</v>
      </c>
      <c r="H100" s="39">
        <v>0</v>
      </c>
      <c r="I100" s="39">
        <v>1000</v>
      </c>
      <c r="J100" s="36" t="e">
        <f t="shared" si="4"/>
        <v>#DIV/0!</v>
      </c>
      <c r="K100" s="36" t="e">
        <f t="shared" si="5"/>
        <v>#DIV/0!</v>
      </c>
    </row>
    <row r="101" spans="2:11" s="42" customFormat="1" ht="15" customHeight="1" x14ac:dyDescent="0.25">
      <c r="B101" s="48"/>
      <c r="C101" s="48"/>
      <c r="D101" s="48"/>
      <c r="E101" s="48"/>
      <c r="F101" s="48"/>
      <c r="G101" s="48"/>
      <c r="H101" s="48"/>
      <c r="I101" s="48"/>
      <c r="J101" s="48"/>
      <c r="K101" s="48"/>
    </row>
    <row r="102" spans="2:11" s="42" customFormat="1" x14ac:dyDescent="0.25">
      <c r="B102" s="48"/>
      <c r="C102" s="48"/>
      <c r="D102" s="48"/>
      <c r="E102" s="48"/>
      <c r="F102" s="48"/>
      <c r="G102" s="48"/>
      <c r="H102" s="48"/>
      <c r="I102" s="48"/>
      <c r="J102" s="48"/>
      <c r="K102" s="48"/>
    </row>
    <row r="103" spans="2:11" s="42" customFormat="1" ht="4.5" customHeight="1" x14ac:dyDescent="0.25">
      <c r="B103" s="48"/>
      <c r="C103" s="48"/>
      <c r="D103" s="48"/>
      <c r="E103" s="48"/>
      <c r="F103" s="48"/>
      <c r="G103" s="48"/>
      <c r="H103" s="48"/>
      <c r="I103" s="48"/>
      <c r="J103" s="48"/>
      <c r="K103" s="48"/>
    </row>
    <row r="104" spans="2:11" s="42" customFormat="1" x14ac:dyDescent="0.25"/>
    <row r="105" spans="2:11" s="42" customFormat="1" x14ac:dyDescent="0.25"/>
    <row r="106" spans="2:11" s="42" customFormat="1" x14ac:dyDescent="0.25"/>
    <row r="107" spans="2:11" s="42" customFormat="1" x14ac:dyDescent="0.25"/>
    <row r="108" spans="2:11" s="42" customFormat="1" x14ac:dyDescent="0.25"/>
    <row r="109" spans="2:11" s="42" customFormat="1" x14ac:dyDescent="0.25"/>
    <row r="110" spans="2:11" s="42" customFormat="1" x14ac:dyDescent="0.25"/>
    <row r="111" spans="2:11" s="42" customFormat="1" x14ac:dyDescent="0.25"/>
    <row r="112" spans="2:11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  <row r="131" s="42" customFormat="1" x14ac:dyDescent="0.25"/>
    <row r="132" s="42" customFormat="1" x14ac:dyDescent="0.25"/>
    <row r="133" s="42" customFormat="1" x14ac:dyDescent="0.25"/>
    <row r="134" s="42" customFormat="1" x14ac:dyDescent="0.25"/>
    <row r="135" s="42" customFormat="1" x14ac:dyDescent="0.25"/>
    <row r="136" s="42" customFormat="1" x14ac:dyDescent="0.25"/>
    <row r="137" s="42" customFormat="1" x14ac:dyDescent="0.25"/>
    <row r="138" s="42" customFormat="1" x14ac:dyDescent="0.25"/>
    <row r="139" s="42" customFormat="1" x14ac:dyDescent="0.25"/>
    <row r="140" s="42" customFormat="1" x14ac:dyDescent="0.25"/>
    <row r="141" s="42" customFormat="1" x14ac:dyDescent="0.25"/>
    <row r="142" s="42" customFormat="1" x14ac:dyDescent="0.25"/>
    <row r="143" s="42" customFormat="1" x14ac:dyDescent="0.25"/>
    <row r="144" s="42" customFormat="1" x14ac:dyDescent="0.25"/>
    <row r="145" s="42" customFormat="1" x14ac:dyDescent="0.25"/>
    <row r="146" s="42" customFormat="1" x14ac:dyDescent="0.25"/>
    <row r="147" s="42" customFormat="1" x14ac:dyDescent="0.25"/>
    <row r="148" s="42" customFormat="1" x14ac:dyDescent="0.25"/>
    <row r="149" s="42" customFormat="1" x14ac:dyDescent="0.25"/>
    <row r="150" s="42" customFormat="1" x14ac:dyDescent="0.25"/>
    <row r="151" s="42" customFormat="1" x14ac:dyDescent="0.25"/>
    <row r="152" s="42" customFormat="1" x14ac:dyDescent="0.25"/>
    <row r="153" s="42" customFormat="1" x14ac:dyDescent="0.25"/>
    <row r="154" s="42" customFormat="1" x14ac:dyDescent="0.25"/>
    <row r="155" s="42" customFormat="1" x14ac:dyDescent="0.25"/>
    <row r="156" s="42" customFormat="1" x14ac:dyDescent="0.25"/>
    <row r="157" s="42" customFormat="1" x14ac:dyDescent="0.25"/>
    <row r="158" s="42" customFormat="1" x14ac:dyDescent="0.25"/>
    <row r="159" s="42" customFormat="1" x14ac:dyDescent="0.25"/>
    <row r="160" s="42" customFormat="1" x14ac:dyDescent="0.25"/>
    <row r="161" s="42" customFormat="1" x14ac:dyDescent="0.25"/>
    <row r="162" s="42" customFormat="1" x14ac:dyDescent="0.25"/>
    <row r="163" s="42" customFormat="1" x14ac:dyDescent="0.25"/>
    <row r="164" s="42" customFormat="1" x14ac:dyDescent="0.25"/>
    <row r="165" s="42" customFormat="1" x14ac:dyDescent="0.25"/>
    <row r="166" s="42" customFormat="1" x14ac:dyDescent="0.25"/>
    <row r="167" s="42" customFormat="1" x14ac:dyDescent="0.25"/>
    <row r="168" s="42" customFormat="1" x14ac:dyDescent="0.25"/>
    <row r="169" s="42" customFormat="1" x14ac:dyDescent="0.25"/>
    <row r="170" s="42" customFormat="1" x14ac:dyDescent="0.25"/>
    <row r="171" s="42" customFormat="1" x14ac:dyDescent="0.25"/>
    <row r="172" s="42" customFormat="1" x14ac:dyDescent="0.25"/>
    <row r="173" s="42" customFormat="1" x14ac:dyDescent="0.25"/>
    <row r="174" s="42" customFormat="1" x14ac:dyDescent="0.25"/>
    <row r="175" s="42" customFormat="1" x14ac:dyDescent="0.25"/>
  </sheetData>
  <mergeCells count="10">
    <mergeCell ref="B1:K1"/>
    <mergeCell ref="B2:K2"/>
    <mergeCell ref="B4:K4"/>
    <mergeCell ref="B6:K6"/>
    <mergeCell ref="B42:F42"/>
    <mergeCell ref="B9:F9"/>
    <mergeCell ref="B41:F41"/>
    <mergeCell ref="B8:F8"/>
    <mergeCell ref="B7:K7"/>
    <mergeCell ref="B40:K40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1" manualBreakCount="1">
    <brk id="40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zoomScaleNormal="100" workbookViewId="0">
      <selection activeCell="E4" sqref="E4"/>
    </sheetView>
  </sheetViews>
  <sheetFormatPr defaultRowHeight="15" x14ac:dyDescent="0.25"/>
  <cols>
    <col min="1" max="1" width="9.140625" style="42"/>
    <col min="2" max="2" width="37.7109375" customWidth="1"/>
    <col min="3" max="4" width="25.28515625" customWidth="1"/>
    <col min="5" max="5" width="26.85546875" customWidth="1"/>
    <col min="6" max="7" width="15.7109375" customWidth="1"/>
    <col min="8" max="25" width="9.140625" style="42"/>
  </cols>
  <sheetData>
    <row r="1" spans="2:7" s="42" customFormat="1" ht="18" x14ac:dyDescent="0.25">
      <c r="B1" s="40"/>
      <c r="C1" s="40"/>
      <c r="D1" s="40"/>
      <c r="E1" s="29"/>
      <c r="F1" s="29"/>
      <c r="G1" s="29"/>
    </row>
    <row r="2" spans="2:7" ht="15.75" customHeight="1" x14ac:dyDescent="0.25">
      <c r="B2" s="175" t="s">
        <v>32</v>
      </c>
      <c r="C2" s="175"/>
      <c r="D2" s="175"/>
      <c r="E2" s="175"/>
      <c r="F2" s="175"/>
      <c r="G2" s="175"/>
    </row>
    <row r="3" spans="2:7" ht="18" x14ac:dyDescent="0.25">
      <c r="B3" s="28"/>
      <c r="C3" s="28"/>
      <c r="D3" s="28"/>
      <c r="E3" s="29"/>
      <c r="F3" s="29"/>
      <c r="G3" s="29"/>
    </row>
    <row r="4" spans="2:7" ht="33.75" customHeight="1" x14ac:dyDescent="0.25">
      <c r="B4" s="23" t="s">
        <v>7</v>
      </c>
      <c r="C4" s="23" t="s">
        <v>212</v>
      </c>
      <c r="D4" s="23" t="s">
        <v>209</v>
      </c>
      <c r="E4" s="23" t="s">
        <v>213</v>
      </c>
      <c r="F4" s="23" t="s">
        <v>18</v>
      </c>
      <c r="G4" s="23" t="s">
        <v>37</v>
      </c>
    </row>
    <row r="5" spans="2:7" x14ac:dyDescent="0.25">
      <c r="B5" s="23">
        <v>1</v>
      </c>
      <c r="C5" s="24">
        <v>2</v>
      </c>
      <c r="D5" s="24">
        <v>3</v>
      </c>
      <c r="E5" s="24">
        <v>5</v>
      </c>
      <c r="F5" s="24" t="s">
        <v>30</v>
      </c>
      <c r="G5" s="24" t="s">
        <v>108</v>
      </c>
    </row>
    <row r="6" spans="2:7" x14ac:dyDescent="0.25">
      <c r="B6" s="2" t="s">
        <v>34</v>
      </c>
      <c r="C6" s="34">
        <f>C7+C11+C13+C17+C21+C23</f>
        <v>772492.1</v>
      </c>
      <c r="D6" s="34">
        <f>D11+D13+D17+D21</f>
        <v>1259786.2100000002</v>
      </c>
      <c r="E6" s="34">
        <f>E7+E11+E13+E17+E21+E23</f>
        <v>876466.44</v>
      </c>
      <c r="F6" s="37">
        <f>E6/C6*100</f>
        <v>113.4595991337646</v>
      </c>
      <c r="G6" s="37">
        <f>E6/D6*100</f>
        <v>69.572633280372216</v>
      </c>
    </row>
    <row r="7" spans="2:7" x14ac:dyDescent="0.25">
      <c r="B7" s="2" t="s">
        <v>12</v>
      </c>
      <c r="C7" s="35">
        <f>C8+C9+C10</f>
        <v>42923.85</v>
      </c>
      <c r="D7" s="35">
        <f>D8+D10</f>
        <v>0</v>
      </c>
      <c r="E7" s="37">
        <f>E8+E9+E10</f>
        <v>61062.75</v>
      </c>
      <c r="F7" s="37">
        <f>E7/C7*100</f>
        <v>142.25832491726629</v>
      </c>
      <c r="G7" s="37" t="e">
        <f t="shared" ref="G7:G44" si="0">E7/D7*100</f>
        <v>#DIV/0!</v>
      </c>
    </row>
    <row r="8" spans="2:7" x14ac:dyDescent="0.25">
      <c r="B8" s="15" t="s">
        <v>13</v>
      </c>
      <c r="C8" s="31">
        <v>11025.76</v>
      </c>
      <c r="D8" s="31">
        <v>0</v>
      </c>
      <c r="E8" s="36">
        <v>10492.84</v>
      </c>
      <c r="F8" s="36">
        <f t="shared" ref="F8:F44" si="1">E8/C8*100</f>
        <v>95.166591690731522</v>
      </c>
      <c r="G8" s="36" t="e">
        <f t="shared" si="0"/>
        <v>#DIV/0!</v>
      </c>
    </row>
    <row r="9" spans="2:7" x14ac:dyDescent="0.25">
      <c r="B9" s="15" t="s">
        <v>193</v>
      </c>
      <c r="C9" s="31">
        <v>31236.639999999999</v>
      </c>
      <c r="D9" s="31">
        <v>0</v>
      </c>
      <c r="E9" s="36">
        <v>50569.91</v>
      </c>
      <c r="F9" s="36">
        <v>0</v>
      </c>
      <c r="G9" s="36" t="e">
        <f t="shared" si="0"/>
        <v>#DIV/0!</v>
      </c>
    </row>
    <row r="10" spans="2:7" x14ac:dyDescent="0.25">
      <c r="B10" s="16" t="s">
        <v>114</v>
      </c>
      <c r="C10" s="31">
        <v>661.45</v>
      </c>
      <c r="D10" s="31">
        <v>0</v>
      </c>
      <c r="E10" s="36">
        <v>0</v>
      </c>
      <c r="F10" s="36">
        <f t="shared" si="1"/>
        <v>0</v>
      </c>
      <c r="G10" s="36" t="e">
        <f t="shared" si="0"/>
        <v>#DIV/0!</v>
      </c>
    </row>
    <row r="11" spans="2:7" x14ac:dyDescent="0.25">
      <c r="B11" s="2" t="s">
        <v>14</v>
      </c>
      <c r="C11" s="35">
        <f>C12</f>
        <v>7527.14</v>
      </c>
      <c r="D11" s="35">
        <f>D12</f>
        <v>19300</v>
      </c>
      <c r="E11" s="37">
        <f>E12</f>
        <v>10194.73</v>
      </c>
      <c r="F11" s="37">
        <f t="shared" si="1"/>
        <v>135.43962248609697</v>
      </c>
      <c r="G11" s="37">
        <f t="shared" si="0"/>
        <v>52.822435233160611</v>
      </c>
    </row>
    <row r="12" spans="2:7" x14ac:dyDescent="0.25">
      <c r="B12" s="17" t="s">
        <v>15</v>
      </c>
      <c r="C12" s="31">
        <v>7527.14</v>
      </c>
      <c r="D12" s="31">
        <v>19300</v>
      </c>
      <c r="E12" s="36">
        <v>10194.73</v>
      </c>
      <c r="F12" s="36">
        <f t="shared" si="1"/>
        <v>135.43962248609697</v>
      </c>
      <c r="G12" s="36">
        <f t="shared" si="0"/>
        <v>52.822435233160611</v>
      </c>
    </row>
    <row r="13" spans="2:7" x14ac:dyDescent="0.25">
      <c r="B13" s="50" t="s">
        <v>115</v>
      </c>
      <c r="C13" s="35">
        <f>C14+C15+C16</f>
        <v>84000.89</v>
      </c>
      <c r="D13" s="35">
        <f>D14+D15+D16</f>
        <v>140936.34</v>
      </c>
      <c r="E13" s="37">
        <f>E14+E15+E16</f>
        <v>95105.73000000001</v>
      </c>
      <c r="F13" s="37">
        <f t="shared" si="1"/>
        <v>113.21990755097953</v>
      </c>
      <c r="G13" s="37">
        <f t="shared" si="0"/>
        <v>67.481339447299405</v>
      </c>
    </row>
    <row r="14" spans="2:7" x14ac:dyDescent="0.25">
      <c r="B14" s="16" t="s">
        <v>116</v>
      </c>
      <c r="C14" s="31">
        <v>1014.46</v>
      </c>
      <c r="D14" s="31">
        <v>3000</v>
      </c>
      <c r="E14" s="36">
        <v>1494.1</v>
      </c>
      <c r="F14" s="36">
        <f t="shared" si="1"/>
        <v>147.28032647911203</v>
      </c>
      <c r="G14" s="36">
        <f t="shared" si="0"/>
        <v>49.803333333333335</v>
      </c>
    </row>
    <row r="15" spans="2:7" x14ac:dyDescent="0.25">
      <c r="B15" s="16" t="s">
        <v>117</v>
      </c>
      <c r="C15" s="31">
        <v>0</v>
      </c>
      <c r="D15" s="31">
        <v>5000</v>
      </c>
      <c r="E15" s="36">
        <v>0</v>
      </c>
      <c r="F15" s="36" t="e">
        <f t="shared" si="1"/>
        <v>#DIV/0!</v>
      </c>
      <c r="G15" s="36">
        <f t="shared" si="0"/>
        <v>0</v>
      </c>
    </row>
    <row r="16" spans="2:7" x14ac:dyDescent="0.25">
      <c r="B16" s="51" t="s">
        <v>118</v>
      </c>
      <c r="C16" s="31">
        <v>82986.429999999993</v>
      </c>
      <c r="D16" s="31">
        <v>132936.34</v>
      </c>
      <c r="E16" s="36">
        <v>93611.63</v>
      </c>
      <c r="F16" s="36">
        <f t="shared" si="1"/>
        <v>112.80353908464313</v>
      </c>
      <c r="G16" s="36">
        <f t="shared" si="0"/>
        <v>70.418389734515046</v>
      </c>
    </row>
    <row r="17" spans="2:7" x14ac:dyDescent="0.25">
      <c r="B17" s="2" t="s">
        <v>119</v>
      </c>
      <c r="C17" s="35">
        <f>C18+C19+C20</f>
        <v>633238.98</v>
      </c>
      <c r="D17" s="35">
        <f>D18+D19+D20</f>
        <v>1098549.8700000001</v>
      </c>
      <c r="E17" s="37">
        <f>E18+E19+E20</f>
        <v>710103.23</v>
      </c>
      <c r="F17" s="37">
        <f t="shared" si="1"/>
        <v>112.13826887283534</v>
      </c>
      <c r="G17" s="37">
        <f t="shared" si="0"/>
        <v>64.640054074195092</v>
      </c>
    </row>
    <row r="18" spans="2:7" x14ac:dyDescent="0.25">
      <c r="B18" s="17" t="s">
        <v>120</v>
      </c>
      <c r="C18" s="31">
        <v>615983.98</v>
      </c>
      <c r="D18" s="31">
        <f>1004100+70000+612+837.87+19000</f>
        <v>1094549.8700000001</v>
      </c>
      <c r="E18" s="36">
        <v>710103.23</v>
      </c>
      <c r="F18" s="36">
        <f t="shared" si="1"/>
        <v>115.27949639209774</v>
      </c>
      <c r="G18" s="36">
        <f t="shared" si="0"/>
        <v>64.876279232484848</v>
      </c>
    </row>
    <row r="19" spans="2:7" x14ac:dyDescent="0.25">
      <c r="B19" s="17" t="s">
        <v>121</v>
      </c>
      <c r="C19" s="31">
        <v>17255</v>
      </c>
      <c r="D19" s="31">
        <v>4000</v>
      </c>
      <c r="E19" s="36">
        <v>0</v>
      </c>
      <c r="F19" s="36">
        <f t="shared" si="1"/>
        <v>0</v>
      </c>
      <c r="G19" s="36">
        <f t="shared" si="0"/>
        <v>0</v>
      </c>
    </row>
    <row r="20" spans="2:7" x14ac:dyDescent="0.25">
      <c r="B20" s="17" t="s">
        <v>122</v>
      </c>
      <c r="C20" s="31">
        <v>0</v>
      </c>
      <c r="D20" s="31">
        <v>0</v>
      </c>
      <c r="E20" s="36">
        <v>0</v>
      </c>
      <c r="F20" s="36" t="e">
        <f t="shared" si="1"/>
        <v>#DIV/0!</v>
      </c>
      <c r="G20" s="36" t="e">
        <f t="shared" si="0"/>
        <v>#DIV/0!</v>
      </c>
    </row>
    <row r="21" spans="2:7" x14ac:dyDescent="0.25">
      <c r="B21" s="2" t="s">
        <v>125</v>
      </c>
      <c r="C21" s="35">
        <f>C22</f>
        <v>4801.24</v>
      </c>
      <c r="D21" s="35">
        <f>D22</f>
        <v>1000</v>
      </c>
      <c r="E21" s="37">
        <f>E22</f>
        <v>0</v>
      </c>
      <c r="F21" s="37">
        <f t="shared" si="1"/>
        <v>0</v>
      </c>
      <c r="G21" s="37">
        <f t="shared" si="0"/>
        <v>0</v>
      </c>
    </row>
    <row r="22" spans="2:7" x14ac:dyDescent="0.25">
      <c r="B22" s="17" t="s">
        <v>126</v>
      </c>
      <c r="C22" s="31">
        <v>4801.24</v>
      </c>
      <c r="D22" s="31">
        <v>1000</v>
      </c>
      <c r="E22" s="36">
        <v>0</v>
      </c>
      <c r="F22" s="36">
        <f t="shared" si="1"/>
        <v>0</v>
      </c>
      <c r="G22" s="36">
        <f t="shared" si="0"/>
        <v>0</v>
      </c>
    </row>
    <row r="23" spans="2:7" ht="25.5" x14ac:dyDescent="0.25">
      <c r="B23" s="2" t="s">
        <v>123</v>
      </c>
      <c r="C23" s="35">
        <f>C24</f>
        <v>0</v>
      </c>
      <c r="D23" s="35">
        <f>D24</f>
        <v>0</v>
      </c>
      <c r="E23" s="37">
        <f>E24</f>
        <v>0</v>
      </c>
      <c r="F23" s="37" t="e">
        <f t="shared" si="1"/>
        <v>#DIV/0!</v>
      </c>
      <c r="G23" s="37" t="e">
        <f t="shared" si="0"/>
        <v>#DIV/0!</v>
      </c>
    </row>
    <row r="24" spans="2:7" ht="25.5" x14ac:dyDescent="0.25">
      <c r="B24" s="17" t="s">
        <v>124</v>
      </c>
      <c r="C24" s="31">
        <v>0</v>
      </c>
      <c r="D24" s="31">
        <v>0</v>
      </c>
      <c r="E24" s="36"/>
      <c r="F24" s="36" t="e">
        <f t="shared" si="1"/>
        <v>#DIV/0!</v>
      </c>
      <c r="G24" s="36" t="e">
        <f t="shared" si="0"/>
        <v>#DIV/0!</v>
      </c>
    </row>
    <row r="25" spans="2:7" x14ac:dyDescent="0.25">
      <c r="B25" s="17"/>
      <c r="C25" s="31"/>
      <c r="D25" s="31"/>
      <c r="E25" s="36"/>
      <c r="F25" s="36"/>
      <c r="G25" s="37"/>
    </row>
    <row r="26" spans="2:7" ht="15.75" customHeight="1" x14ac:dyDescent="0.25">
      <c r="B26" s="2" t="s">
        <v>35</v>
      </c>
      <c r="C26" s="35">
        <f>C27+C31+C33+C37+C43+C41</f>
        <v>790064.7300000001</v>
      </c>
      <c r="D26" s="35">
        <f>D31+D33+D37+D41</f>
        <v>1259786.2100000002</v>
      </c>
      <c r="E26" s="37">
        <f>E27+E31+E33+E37+E41+E43</f>
        <v>863794.92</v>
      </c>
      <c r="F26" s="37">
        <f t="shared" si="1"/>
        <v>109.33217079567645</v>
      </c>
      <c r="G26" s="37">
        <f t="shared" si="0"/>
        <v>68.566786423229701</v>
      </c>
    </row>
    <row r="27" spans="2:7" ht="15.75" customHeight="1" x14ac:dyDescent="0.25">
      <c r="B27" s="2" t="s">
        <v>12</v>
      </c>
      <c r="C27" s="35">
        <f>C28+C29+C30</f>
        <v>46582.319999999992</v>
      </c>
      <c r="D27" s="35">
        <f>D28+D29+D30</f>
        <v>0</v>
      </c>
      <c r="E27" s="37">
        <f>E28+E29+E30</f>
        <v>61062.75</v>
      </c>
      <c r="F27" s="37">
        <f t="shared" si="1"/>
        <v>131.08567799972178</v>
      </c>
      <c r="G27" s="37" t="e">
        <f t="shared" si="0"/>
        <v>#DIV/0!</v>
      </c>
    </row>
    <row r="28" spans="2:7" x14ac:dyDescent="0.25">
      <c r="B28" s="15" t="s">
        <v>13</v>
      </c>
      <c r="C28" s="31">
        <v>14684.23</v>
      </c>
      <c r="D28" s="31">
        <v>0</v>
      </c>
      <c r="E28" s="36">
        <f>673.97+1000+822.75+4950+500+816.75+1729.37</f>
        <v>10492.84</v>
      </c>
      <c r="F28" s="36">
        <f t="shared" si="1"/>
        <v>71.456521724326024</v>
      </c>
      <c r="G28" s="36" t="e">
        <f t="shared" si="0"/>
        <v>#DIV/0!</v>
      </c>
    </row>
    <row r="29" spans="2:7" x14ac:dyDescent="0.25">
      <c r="B29" s="15" t="s">
        <v>193</v>
      </c>
      <c r="C29" s="31">
        <v>31236.639999999999</v>
      </c>
      <c r="D29" s="31">
        <v>0</v>
      </c>
      <c r="E29" s="36">
        <f>22260.36+24300+4009.55</f>
        <v>50569.91</v>
      </c>
      <c r="F29" s="36">
        <f t="shared" si="1"/>
        <v>161.89292446306646</v>
      </c>
      <c r="G29" s="36" t="e">
        <f t="shared" si="0"/>
        <v>#DIV/0!</v>
      </c>
    </row>
    <row r="30" spans="2:7" x14ac:dyDescent="0.25">
      <c r="B30" s="16" t="s">
        <v>114</v>
      </c>
      <c r="C30" s="31">
        <v>661.45</v>
      </c>
      <c r="D30" s="31">
        <v>0</v>
      </c>
      <c r="E30" s="36">
        <v>0</v>
      </c>
      <c r="F30" s="36">
        <f t="shared" si="1"/>
        <v>0</v>
      </c>
      <c r="G30" s="36" t="e">
        <f t="shared" si="0"/>
        <v>#DIV/0!</v>
      </c>
    </row>
    <row r="31" spans="2:7" x14ac:dyDescent="0.25">
      <c r="B31" s="2" t="s">
        <v>14</v>
      </c>
      <c r="C31" s="35">
        <f>C32</f>
        <v>5238.29</v>
      </c>
      <c r="D31" s="35">
        <f>D32</f>
        <v>19300</v>
      </c>
      <c r="E31" s="37">
        <f>E32</f>
        <v>2937.37</v>
      </c>
      <c r="F31" s="37">
        <f t="shared" si="1"/>
        <v>56.0749786667023</v>
      </c>
      <c r="G31" s="37">
        <f t="shared" si="0"/>
        <v>15.219533678756475</v>
      </c>
    </row>
    <row r="32" spans="2:7" x14ac:dyDescent="0.25">
      <c r="B32" s="17" t="s">
        <v>15</v>
      </c>
      <c r="C32" s="31">
        <v>5238.29</v>
      </c>
      <c r="D32" s="31">
        <f>3500+800+3000+500+2000+2000+3000+1500+1000+500+1500</f>
        <v>19300</v>
      </c>
      <c r="E32" s="36">
        <f>1316.51+115.2+121+131.91+119+656.25+477.5</f>
        <v>2937.37</v>
      </c>
      <c r="F32" s="36">
        <f t="shared" si="1"/>
        <v>56.0749786667023</v>
      </c>
      <c r="G32" s="36">
        <f t="shared" si="0"/>
        <v>15.219533678756475</v>
      </c>
    </row>
    <row r="33" spans="2:10" x14ac:dyDescent="0.25">
      <c r="B33" s="50" t="s">
        <v>115</v>
      </c>
      <c r="C33" s="35">
        <f>C34+C35+C36</f>
        <v>106414.51999999999</v>
      </c>
      <c r="D33" s="35">
        <f>D34+D35+D36</f>
        <v>140936.34</v>
      </c>
      <c r="E33" s="37">
        <f>E34+E35+E36</f>
        <v>114595.67000000001</v>
      </c>
      <c r="F33" s="37">
        <f t="shared" si="1"/>
        <v>107.68800159978171</v>
      </c>
      <c r="G33" s="37">
        <f t="shared" si="0"/>
        <v>81.310235529033903</v>
      </c>
    </row>
    <row r="34" spans="2:10" x14ac:dyDescent="0.25">
      <c r="B34" s="16" t="s">
        <v>116</v>
      </c>
      <c r="C34" s="31">
        <v>450</v>
      </c>
      <c r="D34" s="31">
        <v>3000</v>
      </c>
      <c r="E34" s="36">
        <f>979.55</f>
        <v>979.55</v>
      </c>
      <c r="F34" s="36">
        <f t="shared" si="1"/>
        <v>217.67777777777778</v>
      </c>
      <c r="G34" s="36">
        <f t="shared" si="0"/>
        <v>32.651666666666671</v>
      </c>
    </row>
    <row r="35" spans="2:10" x14ac:dyDescent="0.25">
      <c r="B35" s="16" t="s">
        <v>117</v>
      </c>
      <c r="C35" s="31">
        <v>15089.18</v>
      </c>
      <c r="D35" s="31">
        <f>2000+3000</f>
        <v>5000</v>
      </c>
      <c r="E35" s="36">
        <f>3475.68+518.4+222+120</f>
        <v>4336.08</v>
      </c>
      <c r="F35" s="36">
        <f t="shared" si="1"/>
        <v>28.736352803797153</v>
      </c>
      <c r="G35" s="36">
        <f t="shared" si="0"/>
        <v>86.721599999999995</v>
      </c>
    </row>
    <row r="36" spans="2:10" x14ac:dyDescent="0.25">
      <c r="B36" s="51" t="s">
        <v>118</v>
      </c>
      <c r="C36" s="31">
        <v>90875.34</v>
      </c>
      <c r="D36" s="31">
        <f>132936.34</f>
        <v>132936.34</v>
      </c>
      <c r="E36" s="36">
        <f>1000+225.2+1675.78+2072.41+4673.25+13353.25+322.8+1212.21+2453.82+4543.47+60234.96+261.5+1967.96+116.82+125+60+9.96+13596.65+1375</f>
        <v>109280.04000000001</v>
      </c>
      <c r="F36" s="36">
        <f t="shared" si="1"/>
        <v>120.25268901332311</v>
      </c>
      <c r="G36" s="36">
        <f t="shared" si="0"/>
        <v>82.204790653932562</v>
      </c>
    </row>
    <row r="37" spans="2:10" ht="15" customHeight="1" x14ac:dyDescent="0.25">
      <c r="B37" s="52" t="s">
        <v>119</v>
      </c>
      <c r="C37" s="35">
        <f>C38+C39+C40</f>
        <v>631263.06000000006</v>
      </c>
      <c r="D37" s="35">
        <f>D38+D39+D40</f>
        <v>1098549.8700000001</v>
      </c>
      <c r="E37" s="37">
        <f>E38+E40+E39</f>
        <v>685199.13</v>
      </c>
      <c r="F37" s="37">
        <f t="shared" si="1"/>
        <v>108.54415114991838</v>
      </c>
      <c r="G37" s="37">
        <f t="shared" si="0"/>
        <v>62.373056400252445</v>
      </c>
    </row>
    <row r="38" spans="2:10" ht="15" customHeight="1" x14ac:dyDescent="0.25">
      <c r="B38" s="17" t="s">
        <v>120</v>
      </c>
      <c r="C38" s="31">
        <v>614359.42000000004</v>
      </c>
      <c r="D38" s="31">
        <f>1004100+537.87+300+19000+70000+612</f>
        <v>1094549.8700000001</v>
      </c>
      <c r="E38" s="36">
        <f>537356.3+5782.88+88663.86+21160.15+2276+245.5+679.21+1699.2+26761.03+575</f>
        <v>685199.13</v>
      </c>
      <c r="F38" s="36">
        <f t="shared" si="1"/>
        <v>111.530662295371</v>
      </c>
      <c r="G38" s="36">
        <f t="shared" si="0"/>
        <v>62.600996882855597</v>
      </c>
    </row>
    <row r="39" spans="2:10" x14ac:dyDescent="0.25">
      <c r="B39" s="17" t="s">
        <v>121</v>
      </c>
      <c r="C39" s="31">
        <v>16903.64</v>
      </c>
      <c r="D39" s="31">
        <f>2000+2000</f>
        <v>4000</v>
      </c>
      <c r="E39" s="36">
        <v>0</v>
      </c>
      <c r="F39" s="36">
        <f t="shared" si="1"/>
        <v>0</v>
      </c>
      <c r="G39" s="36">
        <f t="shared" si="0"/>
        <v>0</v>
      </c>
    </row>
    <row r="40" spans="2:10" x14ac:dyDescent="0.25">
      <c r="B40" s="17" t="s">
        <v>122</v>
      </c>
      <c r="C40" s="31">
        <v>0</v>
      </c>
      <c r="D40" s="31">
        <v>0</v>
      </c>
      <c r="E40" s="36">
        <v>0</v>
      </c>
      <c r="F40" s="36" t="e">
        <f t="shared" si="1"/>
        <v>#DIV/0!</v>
      </c>
      <c r="G40" s="36" t="e">
        <f t="shared" si="0"/>
        <v>#DIV/0!</v>
      </c>
    </row>
    <row r="41" spans="2:10" x14ac:dyDescent="0.25">
      <c r="B41" s="2" t="s">
        <v>125</v>
      </c>
      <c r="C41" s="35">
        <f>C42</f>
        <v>566.54</v>
      </c>
      <c r="D41" s="35">
        <f>D42</f>
        <v>1000</v>
      </c>
      <c r="E41" s="37">
        <f>E42</f>
        <v>0</v>
      </c>
      <c r="F41" s="37">
        <f t="shared" si="1"/>
        <v>0</v>
      </c>
      <c r="G41" s="37">
        <f t="shared" si="0"/>
        <v>0</v>
      </c>
    </row>
    <row r="42" spans="2:10" x14ac:dyDescent="0.25">
      <c r="B42" s="17" t="s">
        <v>126</v>
      </c>
      <c r="C42" s="31">
        <v>566.54</v>
      </c>
      <c r="D42" s="31">
        <v>1000</v>
      </c>
      <c r="E42" s="36">
        <v>0</v>
      </c>
      <c r="F42" s="36">
        <f t="shared" si="1"/>
        <v>0</v>
      </c>
      <c r="G42" s="36">
        <f t="shared" si="0"/>
        <v>0</v>
      </c>
    </row>
    <row r="43" spans="2:10" s="42" customFormat="1" ht="25.5" x14ac:dyDescent="0.25">
      <c r="B43" s="2" t="s">
        <v>123</v>
      </c>
      <c r="C43" s="35">
        <f>C44</f>
        <v>0</v>
      </c>
      <c r="D43" s="35">
        <f>D44</f>
        <v>0</v>
      </c>
      <c r="E43" s="37">
        <f>E44</f>
        <v>0</v>
      </c>
      <c r="F43" s="37" t="e">
        <f t="shared" si="1"/>
        <v>#DIV/0!</v>
      </c>
      <c r="G43" s="37" t="e">
        <f t="shared" si="0"/>
        <v>#DIV/0!</v>
      </c>
      <c r="H43" s="48"/>
      <c r="I43" s="48"/>
      <c r="J43" s="48"/>
    </row>
    <row r="44" spans="2:10" s="42" customFormat="1" ht="25.5" x14ac:dyDescent="0.25">
      <c r="B44" s="17" t="s">
        <v>124</v>
      </c>
      <c r="C44" s="31">
        <v>0</v>
      </c>
      <c r="D44" s="31">
        <v>0</v>
      </c>
      <c r="E44" s="36">
        <v>0</v>
      </c>
      <c r="F44" s="36" t="e">
        <f t="shared" si="1"/>
        <v>#DIV/0!</v>
      </c>
      <c r="G44" s="36" t="e">
        <f t="shared" si="0"/>
        <v>#DIV/0!</v>
      </c>
      <c r="H44" s="48"/>
      <c r="I44" s="48"/>
      <c r="J44" s="48"/>
    </row>
    <row r="45" spans="2:10" s="42" customFormat="1" x14ac:dyDescent="0.25">
      <c r="B45" s="48"/>
      <c r="C45" s="48"/>
      <c r="D45" s="48"/>
      <c r="E45" s="48"/>
      <c r="F45" s="48"/>
      <c r="G45" s="48"/>
    </row>
    <row r="46" spans="2:10" s="42" customFormat="1" x14ac:dyDescent="0.25">
      <c r="B46" s="48"/>
      <c r="C46" s="48"/>
      <c r="D46" s="48"/>
      <c r="E46" s="48"/>
      <c r="F46" s="48"/>
      <c r="G46" s="48"/>
    </row>
    <row r="47" spans="2:10" s="42" customFormat="1" x14ac:dyDescent="0.25"/>
    <row r="48" spans="2:10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pans="2:7" s="42" customFormat="1" x14ac:dyDescent="0.25"/>
    <row r="66" spans="2:7" s="42" customFormat="1" x14ac:dyDescent="0.25"/>
    <row r="67" spans="2:7" s="42" customFormat="1" x14ac:dyDescent="0.25"/>
    <row r="68" spans="2:7" x14ac:dyDescent="0.25">
      <c r="B68" s="42"/>
      <c r="C68" s="42"/>
      <c r="D68" s="42"/>
      <c r="E68" s="42"/>
      <c r="F68" s="42"/>
      <c r="G68" s="42"/>
    </row>
    <row r="69" spans="2:7" x14ac:dyDescent="0.25">
      <c r="B69" s="42"/>
      <c r="C69" s="42"/>
      <c r="D69" s="42"/>
      <c r="E69" s="42"/>
      <c r="F69" s="42"/>
      <c r="G69" s="42"/>
    </row>
  </sheetData>
  <mergeCells count="1">
    <mergeCell ref="B2:G2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Normal="100" workbookViewId="0">
      <selection activeCell="E4" sqref="E4"/>
    </sheetView>
  </sheetViews>
  <sheetFormatPr defaultRowHeight="15" x14ac:dyDescent="0.25"/>
  <cols>
    <col min="1" max="1" width="9.140625" style="42"/>
    <col min="2" max="2" width="37.7109375" customWidth="1"/>
    <col min="3" max="5" width="25.28515625" customWidth="1"/>
    <col min="6" max="7" width="15.7109375" customWidth="1"/>
    <col min="8" max="20" width="9.140625" style="42"/>
  </cols>
  <sheetData>
    <row r="1" spans="2:7" s="42" customFormat="1" ht="18" x14ac:dyDescent="0.25">
      <c r="B1" s="40"/>
      <c r="C1" s="40"/>
      <c r="D1" s="40"/>
      <c r="E1" s="29"/>
      <c r="F1" s="29"/>
      <c r="G1" s="29"/>
    </row>
    <row r="2" spans="2:7" ht="15.75" customHeight="1" x14ac:dyDescent="0.25">
      <c r="B2" s="175" t="s">
        <v>33</v>
      </c>
      <c r="C2" s="175"/>
      <c r="D2" s="175"/>
      <c r="E2" s="175"/>
      <c r="F2" s="175"/>
      <c r="G2" s="175"/>
    </row>
    <row r="3" spans="2:7" ht="18" x14ac:dyDescent="0.25">
      <c r="B3" s="28"/>
      <c r="C3" s="28"/>
      <c r="D3" s="28"/>
      <c r="E3" s="29"/>
      <c r="F3" s="29"/>
      <c r="G3" s="29"/>
    </row>
    <row r="4" spans="2:7" ht="25.5" x14ac:dyDescent="0.25">
      <c r="B4" s="23" t="s">
        <v>7</v>
      </c>
      <c r="C4" s="23" t="s">
        <v>214</v>
      </c>
      <c r="D4" s="23" t="s">
        <v>209</v>
      </c>
      <c r="E4" s="23" t="s">
        <v>215</v>
      </c>
      <c r="F4" s="23" t="s">
        <v>18</v>
      </c>
      <c r="G4" s="23" t="s">
        <v>37</v>
      </c>
    </row>
    <row r="5" spans="2:7" x14ac:dyDescent="0.25">
      <c r="B5" s="24">
        <v>1</v>
      </c>
      <c r="C5" s="24">
        <v>2</v>
      </c>
      <c r="D5" s="24">
        <v>3</v>
      </c>
      <c r="E5" s="24">
        <v>5</v>
      </c>
      <c r="F5" s="24" t="s">
        <v>30</v>
      </c>
      <c r="G5" s="24" t="s">
        <v>108</v>
      </c>
    </row>
    <row r="6" spans="2:7" ht="15.75" customHeight="1" x14ac:dyDescent="0.25">
      <c r="B6" s="2" t="s">
        <v>35</v>
      </c>
      <c r="C6" s="35">
        <f>C7</f>
        <v>790064.73</v>
      </c>
      <c r="D6" s="35">
        <f>D7</f>
        <v>1259786.21</v>
      </c>
      <c r="E6" s="37">
        <f>E7</f>
        <v>863794.91999999993</v>
      </c>
      <c r="F6" s="96">
        <f>E6/C6*100</f>
        <v>109.33217079567645</v>
      </c>
      <c r="G6" s="96">
        <f>E6/D6*100</f>
        <v>68.566786423229701</v>
      </c>
    </row>
    <row r="7" spans="2:7" ht="15.75" customHeight="1" x14ac:dyDescent="0.25">
      <c r="B7" s="2" t="s">
        <v>127</v>
      </c>
      <c r="C7" s="35">
        <f>C8+C9</f>
        <v>790064.73</v>
      </c>
      <c r="D7" s="35">
        <f>D8+D9</f>
        <v>1259786.21</v>
      </c>
      <c r="E7" s="37">
        <f>E8+E9</f>
        <v>863794.91999999993</v>
      </c>
      <c r="F7" s="96">
        <f>E7/C7*100</f>
        <v>109.33217079567645</v>
      </c>
      <c r="G7" s="96">
        <f t="shared" ref="G7" si="0">E7/D7*100</f>
        <v>68.566786423229701</v>
      </c>
    </row>
    <row r="8" spans="2:7" x14ac:dyDescent="0.25">
      <c r="B8" s="8" t="s">
        <v>128</v>
      </c>
      <c r="C8" s="31">
        <v>699089.42</v>
      </c>
      <c r="D8" s="148">
        <v>1111670.58</v>
      </c>
      <c r="E8" s="36">
        <v>752320.97</v>
      </c>
      <c r="F8" s="55">
        <f>E8/C8*100</f>
        <v>107.61441218778565</v>
      </c>
      <c r="G8" s="55">
        <f>E8/D8*100</f>
        <v>67.674811543541963</v>
      </c>
    </row>
    <row r="9" spans="2:7" x14ac:dyDescent="0.25">
      <c r="B9" s="14" t="s">
        <v>129</v>
      </c>
      <c r="C9" s="31">
        <v>90975.31</v>
      </c>
      <c r="D9" s="31">
        <f>78115.63+70000</f>
        <v>148115.63</v>
      </c>
      <c r="E9" s="36">
        <f>84712.92+26761.03</f>
        <v>111473.95</v>
      </c>
      <c r="F9" s="55">
        <f>E9/C9*100</f>
        <v>122.53209139930384</v>
      </c>
      <c r="G9" s="55">
        <f>E9/D9*100</f>
        <v>75.261435947036787</v>
      </c>
    </row>
    <row r="10" spans="2:7" s="42" customFormat="1" x14ac:dyDescent="0.25"/>
    <row r="11" spans="2:7" s="42" customFormat="1" x14ac:dyDescent="0.25">
      <c r="B11" s="48"/>
      <c r="C11" s="48"/>
      <c r="D11" s="48"/>
      <c r="E11" s="48"/>
      <c r="F11" s="48"/>
      <c r="G11" s="48"/>
    </row>
    <row r="12" spans="2:7" s="42" customFormat="1" x14ac:dyDescent="0.25">
      <c r="B12" s="48"/>
      <c r="C12" s="48"/>
      <c r="D12" s="48"/>
      <c r="E12" s="48"/>
      <c r="F12" s="48"/>
      <c r="G12" s="48"/>
    </row>
    <row r="13" spans="2:7" s="42" customFormat="1" x14ac:dyDescent="0.25">
      <c r="B13" s="48"/>
      <c r="C13" s="48"/>
      <c r="D13" s="48"/>
      <c r="E13" s="48"/>
      <c r="F13" s="48"/>
      <c r="G13" s="48"/>
    </row>
    <row r="14" spans="2:7" s="42" customFormat="1" x14ac:dyDescent="0.25"/>
    <row r="15" spans="2:7" s="42" customFormat="1" x14ac:dyDescent="0.25"/>
    <row r="16" spans="2:7" s="42" customFormat="1" x14ac:dyDescent="0.25"/>
    <row r="17" s="42" customFormat="1" x14ac:dyDescent="0.25"/>
    <row r="18" s="42" customFormat="1" x14ac:dyDescent="0.25"/>
    <row r="19" s="42" customFormat="1" x14ac:dyDescent="0.25"/>
    <row r="20" s="42" customFormat="1" x14ac:dyDescent="0.25"/>
    <row r="21" s="42" customFormat="1" x14ac:dyDescent="0.25"/>
    <row r="22" s="42" customFormat="1" x14ac:dyDescent="0.25"/>
    <row r="23" s="42" customFormat="1" x14ac:dyDescent="0.25"/>
    <row r="24" s="42" customFormat="1" x14ac:dyDescent="0.25"/>
    <row r="25" s="42" customFormat="1" x14ac:dyDescent="0.25"/>
    <row r="26" s="42" customFormat="1" x14ac:dyDescent="0.25"/>
    <row r="27" s="42" customFormat="1" x14ac:dyDescent="0.25"/>
    <row r="28" s="42" customFormat="1" x14ac:dyDescent="0.25"/>
    <row r="29" s="42" customFormat="1" x14ac:dyDescent="0.25"/>
    <row r="30" s="42" customFormat="1" x14ac:dyDescent="0.25"/>
    <row r="31" s="42" customFormat="1" x14ac:dyDescent="0.25"/>
    <row r="3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  <row r="55" s="42" customFormat="1" x14ac:dyDescent="0.25"/>
    <row r="56" s="42" customFormat="1" x14ac:dyDescent="0.25"/>
    <row r="57" s="42" customFormat="1" x14ac:dyDescent="0.25"/>
    <row r="58" s="42" customFormat="1" x14ac:dyDescent="0.25"/>
    <row r="59" s="42" customFormat="1" x14ac:dyDescent="0.25"/>
    <row r="60" s="42" customFormat="1" x14ac:dyDescent="0.25"/>
    <row r="61" s="42" customFormat="1" x14ac:dyDescent="0.25"/>
    <row r="62" s="42" customFormat="1" x14ac:dyDescent="0.25"/>
    <row r="63" s="42" customFormat="1" x14ac:dyDescent="0.25"/>
    <row r="64" s="42" customFormat="1" x14ac:dyDescent="0.25"/>
    <row r="65" s="42" customFormat="1" x14ac:dyDescent="0.25"/>
    <row r="66" s="42" customFormat="1" x14ac:dyDescent="0.25"/>
    <row r="67" s="42" customFormat="1" x14ac:dyDescent="0.25"/>
    <row r="68" s="42" customFormat="1" x14ac:dyDescent="0.25"/>
    <row r="69" s="42" customFormat="1" x14ac:dyDescent="0.25"/>
    <row r="70" s="42" customFormat="1" x14ac:dyDescent="0.25"/>
    <row r="71" s="42" customFormat="1" x14ac:dyDescent="0.25"/>
    <row r="72" s="42" customFormat="1" x14ac:dyDescent="0.25"/>
    <row r="73" s="42" customFormat="1" x14ac:dyDescent="0.25"/>
    <row r="74" s="42" customFormat="1" x14ac:dyDescent="0.25"/>
    <row r="75" s="42" customFormat="1" x14ac:dyDescent="0.25"/>
    <row r="76" s="42" customFormat="1" x14ac:dyDescent="0.25"/>
    <row r="77" s="42" customFormat="1" x14ac:dyDescent="0.25"/>
    <row r="78" s="42" customFormat="1" x14ac:dyDescent="0.25"/>
    <row r="79" s="42" customFormat="1" x14ac:dyDescent="0.25"/>
    <row r="80" s="42" customFormat="1" x14ac:dyDescent="0.25"/>
    <row r="81" s="42" customFormat="1" x14ac:dyDescent="0.25"/>
    <row r="82" s="42" customFormat="1" x14ac:dyDescent="0.25"/>
    <row r="83" s="42" customFormat="1" x14ac:dyDescent="0.25"/>
    <row r="84" s="42" customFormat="1" x14ac:dyDescent="0.25"/>
    <row r="85" s="42" customFormat="1" x14ac:dyDescent="0.25"/>
    <row r="86" s="42" customFormat="1" x14ac:dyDescent="0.25"/>
    <row r="87" s="42" customFormat="1" x14ac:dyDescent="0.25"/>
    <row r="88" s="42" customFormat="1" x14ac:dyDescent="0.25"/>
    <row r="89" s="42" customFormat="1" x14ac:dyDescent="0.25"/>
    <row r="90" s="42" customFormat="1" x14ac:dyDescent="0.25"/>
    <row r="91" s="42" customFormat="1" x14ac:dyDescent="0.25"/>
    <row r="92" s="42" customFormat="1" x14ac:dyDescent="0.25"/>
    <row r="93" s="42" customFormat="1" x14ac:dyDescent="0.25"/>
    <row r="94" s="42" customFormat="1" x14ac:dyDescent="0.25"/>
    <row r="95" s="42" customFormat="1" x14ac:dyDescent="0.25"/>
    <row r="96" s="42" customFormat="1" x14ac:dyDescent="0.25"/>
    <row r="97" s="42" customFormat="1" x14ac:dyDescent="0.25"/>
    <row r="98" s="42" customFormat="1" x14ac:dyDescent="0.25"/>
    <row r="99" s="42" customFormat="1" x14ac:dyDescent="0.25"/>
    <row r="100" s="42" customFormat="1" x14ac:dyDescent="0.25"/>
    <row r="101" s="42" customFormat="1" x14ac:dyDescent="0.25"/>
    <row r="102" s="42" customFormat="1" x14ac:dyDescent="0.25"/>
    <row r="103" s="42" customFormat="1" x14ac:dyDescent="0.25"/>
    <row r="104" s="42" customFormat="1" x14ac:dyDescent="0.25"/>
    <row r="105" s="42" customFormat="1" x14ac:dyDescent="0.25"/>
    <row r="106" s="42" customFormat="1" x14ac:dyDescent="0.25"/>
    <row r="107" s="42" customFormat="1" x14ac:dyDescent="0.25"/>
    <row r="108" s="42" customFormat="1" x14ac:dyDescent="0.25"/>
    <row r="109" s="42" customFormat="1" x14ac:dyDescent="0.25"/>
    <row r="110" s="42" customFormat="1" x14ac:dyDescent="0.25"/>
    <row r="111" s="42" customFormat="1" x14ac:dyDescent="0.25"/>
    <row r="112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5"/>
  <sheetViews>
    <sheetView tabSelected="1" zoomScaleNormal="100" workbookViewId="0">
      <selection activeCell="D209" sqref="D209"/>
    </sheetView>
  </sheetViews>
  <sheetFormatPr defaultRowHeight="15" x14ac:dyDescent="0.25"/>
  <cols>
    <col min="1" max="1" width="12.7109375" customWidth="1"/>
    <col min="2" max="2" width="47.5703125" customWidth="1"/>
    <col min="3" max="4" width="17.28515625" bestFit="1" customWidth="1"/>
    <col min="5" max="5" width="13.5703125" style="64" customWidth="1"/>
    <col min="6" max="35" width="9.140625" style="42"/>
  </cols>
  <sheetData>
    <row r="1" spans="1:5" ht="15.75" customHeight="1" x14ac:dyDescent="0.25">
      <c r="A1" s="175" t="s">
        <v>8</v>
      </c>
      <c r="B1" s="175"/>
      <c r="C1" s="175"/>
      <c r="D1" s="175"/>
      <c r="E1" s="175"/>
    </row>
    <row r="2" spans="1:5" ht="18" x14ac:dyDescent="0.25">
      <c r="A2" s="53"/>
      <c r="B2" s="53"/>
      <c r="C2" s="53"/>
      <c r="D2" s="53"/>
      <c r="E2" s="29"/>
    </row>
    <row r="3" spans="1:5" ht="15.75" x14ac:dyDescent="0.25">
      <c r="A3" s="194" t="s">
        <v>39</v>
      </c>
      <c r="B3" s="194"/>
      <c r="C3" s="194"/>
      <c r="D3" s="194"/>
      <c r="E3" s="194"/>
    </row>
    <row r="4" spans="1:5" ht="17.25" customHeight="1" x14ac:dyDescent="0.25">
      <c r="A4" s="54"/>
      <c r="B4" s="54"/>
      <c r="C4" s="54"/>
      <c r="D4" s="54"/>
      <c r="E4" s="54"/>
    </row>
    <row r="5" spans="1:5" ht="20.100000000000001" customHeight="1" x14ac:dyDescent="0.25">
      <c r="A5" s="70">
        <v>2202</v>
      </c>
      <c r="B5" s="71" t="s">
        <v>175</v>
      </c>
      <c r="C5" s="72">
        <f>C29+C36+C44+C51+C58+C69</f>
        <v>1137036.3400000001</v>
      </c>
      <c r="D5" s="72">
        <f>D29+D36+D44+D51+D58+D69</f>
        <v>786779.59000000008</v>
      </c>
      <c r="E5" s="72">
        <f>D5/C5*100</f>
        <v>69.195641539477975</v>
      </c>
    </row>
    <row r="6" spans="1:5" ht="19.5" x14ac:dyDescent="0.25">
      <c r="A6" s="56" t="s">
        <v>130</v>
      </c>
      <c r="B6" s="57" t="s">
        <v>131</v>
      </c>
      <c r="C6" s="58"/>
      <c r="D6" s="58"/>
      <c r="E6" s="58"/>
    </row>
    <row r="7" spans="1:5" s="42" customFormat="1" ht="20.25" x14ac:dyDescent="0.25">
      <c r="A7" s="191" t="s">
        <v>132</v>
      </c>
      <c r="B7" s="191"/>
      <c r="C7" s="83"/>
      <c r="D7" s="83"/>
      <c r="E7" s="84"/>
    </row>
    <row r="8" spans="1:5" ht="42.75" x14ac:dyDescent="0.25">
      <c r="A8" s="107" t="s">
        <v>133</v>
      </c>
      <c r="B8" s="108" t="s">
        <v>134</v>
      </c>
      <c r="C8" s="1" t="s">
        <v>209</v>
      </c>
      <c r="D8" s="1" t="s">
        <v>211</v>
      </c>
      <c r="E8" s="59" t="s">
        <v>135</v>
      </c>
    </row>
    <row r="9" spans="1:5" x14ac:dyDescent="0.25">
      <c r="A9" s="60"/>
      <c r="B9" s="61"/>
      <c r="C9" s="62">
        <v>2</v>
      </c>
      <c r="D9" s="62">
        <v>3</v>
      </c>
      <c r="E9" s="63">
        <v>4</v>
      </c>
    </row>
    <row r="10" spans="1:5" x14ac:dyDescent="0.25">
      <c r="A10" s="97">
        <v>32111</v>
      </c>
      <c r="B10" s="98" t="s">
        <v>29</v>
      </c>
      <c r="C10" s="99">
        <v>1000</v>
      </c>
      <c r="D10" s="99">
        <v>1000</v>
      </c>
      <c r="E10" s="100">
        <f>D10/C10*100</f>
        <v>100</v>
      </c>
    </row>
    <row r="11" spans="1:5" x14ac:dyDescent="0.25">
      <c r="A11" s="97">
        <v>32141</v>
      </c>
      <c r="B11" s="98" t="s">
        <v>195</v>
      </c>
      <c r="C11" s="99">
        <v>500</v>
      </c>
      <c r="D11" s="99">
        <v>225.2</v>
      </c>
      <c r="E11" s="100">
        <f>D11/C11*100</f>
        <v>45.04</v>
      </c>
    </row>
    <row r="12" spans="1:5" x14ac:dyDescent="0.25">
      <c r="A12" s="101">
        <v>32211</v>
      </c>
      <c r="B12" s="76" t="s">
        <v>136</v>
      </c>
      <c r="C12" s="102">
        <v>4000</v>
      </c>
      <c r="D12" s="102">
        <v>1675.78</v>
      </c>
      <c r="E12" s="100">
        <f t="shared" ref="E12:E29" si="0">D12/C12*100</f>
        <v>41.894500000000001</v>
      </c>
    </row>
    <row r="13" spans="1:5" x14ac:dyDescent="0.25">
      <c r="A13" s="101">
        <v>32221</v>
      </c>
      <c r="B13" s="76" t="s">
        <v>70</v>
      </c>
      <c r="C13" s="102">
        <v>4000</v>
      </c>
      <c r="D13" s="102">
        <v>2072.41</v>
      </c>
      <c r="E13" s="100">
        <f t="shared" si="0"/>
        <v>51.810249999999989</v>
      </c>
    </row>
    <row r="14" spans="1:5" x14ac:dyDescent="0.25">
      <c r="A14" s="101">
        <v>32231</v>
      </c>
      <c r="B14" s="76" t="s">
        <v>137</v>
      </c>
      <c r="C14" s="102">
        <v>5000</v>
      </c>
      <c r="D14" s="102">
        <v>4673.25</v>
      </c>
      <c r="E14" s="100">
        <f t="shared" si="0"/>
        <v>93.465000000000003</v>
      </c>
    </row>
    <row r="15" spans="1:5" x14ac:dyDescent="0.25">
      <c r="A15" s="101">
        <v>32234</v>
      </c>
      <c r="B15" s="76" t="s">
        <v>176</v>
      </c>
      <c r="C15" s="102">
        <v>16000</v>
      </c>
      <c r="D15" s="102">
        <v>13353.25</v>
      </c>
      <c r="E15" s="100">
        <f t="shared" si="0"/>
        <v>83.457812499999989</v>
      </c>
    </row>
    <row r="16" spans="1:5" x14ac:dyDescent="0.25">
      <c r="A16" s="101">
        <v>32241</v>
      </c>
      <c r="B16" s="76" t="s">
        <v>138</v>
      </c>
      <c r="C16" s="102">
        <v>2000</v>
      </c>
      <c r="D16" s="102">
        <v>322.8</v>
      </c>
      <c r="E16" s="100">
        <f t="shared" si="0"/>
        <v>16.14</v>
      </c>
    </row>
    <row r="17" spans="1:5" x14ac:dyDescent="0.25">
      <c r="A17" s="101">
        <v>32251</v>
      </c>
      <c r="B17" s="76" t="s">
        <v>139</v>
      </c>
      <c r="C17" s="102">
        <v>200</v>
      </c>
      <c r="D17" s="102">
        <v>0</v>
      </c>
      <c r="E17" s="100">
        <f t="shared" si="0"/>
        <v>0</v>
      </c>
    </row>
    <row r="18" spans="1:5" x14ac:dyDescent="0.25">
      <c r="A18" s="101">
        <v>32311</v>
      </c>
      <c r="B18" s="76" t="s">
        <v>76</v>
      </c>
      <c r="C18" s="102">
        <v>4500</v>
      </c>
      <c r="D18" s="102">
        <v>1212.21</v>
      </c>
      <c r="E18" s="100">
        <f t="shared" si="0"/>
        <v>26.938000000000002</v>
      </c>
    </row>
    <row r="19" spans="1:5" x14ac:dyDescent="0.25">
      <c r="A19" s="101">
        <v>32321</v>
      </c>
      <c r="B19" s="76" t="s">
        <v>140</v>
      </c>
      <c r="C19" s="102">
        <v>3500</v>
      </c>
      <c r="D19" s="102">
        <v>2453.8200000000002</v>
      </c>
      <c r="E19" s="100">
        <f t="shared" si="0"/>
        <v>70.109142857142857</v>
      </c>
    </row>
    <row r="20" spans="1:5" x14ac:dyDescent="0.25">
      <c r="A20" s="101">
        <v>32341</v>
      </c>
      <c r="B20" s="76" t="s">
        <v>78</v>
      </c>
      <c r="C20" s="102">
        <v>6000</v>
      </c>
      <c r="D20" s="102">
        <v>4543.47</v>
      </c>
      <c r="E20" s="100">
        <f t="shared" si="0"/>
        <v>75.724500000000006</v>
      </c>
    </row>
    <row r="21" spans="1:5" x14ac:dyDescent="0.25">
      <c r="A21" s="101">
        <v>32353</v>
      </c>
      <c r="B21" s="76" t="s">
        <v>141</v>
      </c>
      <c r="C21" s="102">
        <v>78115.63</v>
      </c>
      <c r="D21" s="102">
        <v>60234.96</v>
      </c>
      <c r="E21" s="100">
        <f t="shared" si="0"/>
        <v>77.109997064607938</v>
      </c>
    </row>
    <row r="22" spans="1:5" x14ac:dyDescent="0.25">
      <c r="A22" s="101">
        <v>32361</v>
      </c>
      <c r="B22" s="76" t="s">
        <v>80</v>
      </c>
      <c r="C22" s="102">
        <v>4000</v>
      </c>
      <c r="D22" s="102">
        <v>261.5</v>
      </c>
      <c r="E22" s="100">
        <f t="shared" si="0"/>
        <v>6.5375000000000005</v>
      </c>
    </row>
    <row r="23" spans="1:5" x14ac:dyDescent="0.25">
      <c r="A23" s="101">
        <v>32389</v>
      </c>
      <c r="B23" s="76" t="s">
        <v>82</v>
      </c>
      <c r="C23" s="102">
        <v>3000</v>
      </c>
      <c r="D23" s="102">
        <v>1967.96</v>
      </c>
      <c r="E23" s="100">
        <f t="shared" si="0"/>
        <v>65.598666666666674</v>
      </c>
    </row>
    <row r="24" spans="1:5" x14ac:dyDescent="0.25">
      <c r="A24" s="101">
        <v>32399</v>
      </c>
      <c r="B24" s="76" t="s">
        <v>83</v>
      </c>
      <c r="C24" s="102">
        <v>200</v>
      </c>
      <c r="D24" s="102">
        <v>0</v>
      </c>
      <c r="E24" s="100">
        <f t="shared" si="0"/>
        <v>0</v>
      </c>
    </row>
    <row r="25" spans="1:5" x14ac:dyDescent="0.25">
      <c r="A25" s="101">
        <v>32922</v>
      </c>
      <c r="B25" s="76" t="s">
        <v>85</v>
      </c>
      <c r="C25" s="102">
        <v>517.62</v>
      </c>
      <c r="D25" s="102">
        <v>116.82</v>
      </c>
      <c r="E25" s="100">
        <f t="shared" si="0"/>
        <v>22.568679726440244</v>
      </c>
    </row>
    <row r="26" spans="1:5" x14ac:dyDescent="0.25">
      <c r="A26" s="101">
        <v>32941</v>
      </c>
      <c r="B26" s="76" t="s">
        <v>142</v>
      </c>
      <c r="C26" s="102">
        <v>163.09</v>
      </c>
      <c r="D26" s="102">
        <v>125</v>
      </c>
      <c r="E26" s="100">
        <f t="shared" si="0"/>
        <v>76.644797351155802</v>
      </c>
    </row>
    <row r="27" spans="1:5" x14ac:dyDescent="0.25">
      <c r="A27" s="101">
        <v>32999</v>
      </c>
      <c r="B27" s="76" t="s">
        <v>84</v>
      </c>
      <c r="C27" s="102">
        <v>200</v>
      </c>
      <c r="D27" s="102">
        <v>60</v>
      </c>
      <c r="E27" s="100">
        <f t="shared" si="0"/>
        <v>30</v>
      </c>
    </row>
    <row r="28" spans="1:5" x14ac:dyDescent="0.25">
      <c r="A28" s="101">
        <v>34312</v>
      </c>
      <c r="B28" s="76" t="s">
        <v>90</v>
      </c>
      <c r="C28" s="102">
        <v>40</v>
      </c>
      <c r="D28" s="102">
        <v>9.9600000000000009</v>
      </c>
      <c r="E28" s="100">
        <f t="shared" si="0"/>
        <v>24.900000000000002</v>
      </c>
    </row>
    <row r="29" spans="1:5" x14ac:dyDescent="0.25">
      <c r="A29" s="103" t="s">
        <v>143</v>
      </c>
      <c r="B29" s="104"/>
      <c r="C29" s="105">
        <f>SUM(C10:C28)</f>
        <v>132936.34</v>
      </c>
      <c r="D29" s="105">
        <f>SUM(D10:D28)</f>
        <v>94308.390000000014</v>
      </c>
      <c r="E29" s="106">
        <f t="shared" si="0"/>
        <v>70.942520307088358</v>
      </c>
    </row>
    <row r="30" spans="1:5" x14ac:dyDescent="0.25">
      <c r="A30" s="149"/>
      <c r="B30" s="204"/>
      <c r="C30" s="151"/>
      <c r="D30" s="151"/>
      <c r="E30" s="205"/>
    </row>
    <row r="31" spans="1:5" ht="16.5" x14ac:dyDescent="0.35">
      <c r="A31" s="201" t="s">
        <v>230</v>
      </c>
      <c r="B31" s="203"/>
      <c r="C31" s="75"/>
      <c r="D31" s="73"/>
      <c r="E31" s="74"/>
    </row>
    <row r="32" spans="1:5" x14ac:dyDescent="0.25">
      <c r="A32" s="195" t="s">
        <v>196</v>
      </c>
      <c r="B32" s="196"/>
      <c r="C32" s="196"/>
      <c r="D32" s="67"/>
    </row>
    <row r="33" spans="1:5" ht="42.75" x14ac:dyDescent="0.25">
      <c r="A33" s="107" t="s">
        <v>133</v>
      </c>
      <c r="B33" s="108" t="s">
        <v>134</v>
      </c>
      <c r="C33" s="1" t="s">
        <v>209</v>
      </c>
      <c r="D33" s="1" t="s">
        <v>211</v>
      </c>
      <c r="E33" s="109" t="s">
        <v>135</v>
      </c>
    </row>
    <row r="34" spans="1:5" x14ac:dyDescent="0.25">
      <c r="A34" s="110"/>
      <c r="B34" s="111"/>
      <c r="C34" s="112">
        <v>2</v>
      </c>
      <c r="D34" s="112">
        <v>3</v>
      </c>
      <c r="E34" s="113">
        <v>5</v>
      </c>
    </row>
    <row r="35" spans="1:5" x14ac:dyDescent="0.25">
      <c r="A35" s="122">
        <v>32353</v>
      </c>
      <c r="B35" s="98" t="s">
        <v>141</v>
      </c>
      <c r="C35" s="123">
        <v>0</v>
      </c>
      <c r="D35" s="123">
        <v>22260.36</v>
      </c>
      <c r="E35" s="124" t="e">
        <f t="shared" ref="E35:E36" si="1">D35/C35*100</f>
        <v>#DIV/0!</v>
      </c>
    </row>
    <row r="36" spans="1:5" s="42" customFormat="1" x14ac:dyDescent="0.25">
      <c r="A36" s="103" t="s">
        <v>143</v>
      </c>
      <c r="B36" s="116"/>
      <c r="C36" s="105">
        <f>0</f>
        <v>0</v>
      </c>
      <c r="D36" s="105">
        <f>D35</f>
        <v>22260.36</v>
      </c>
      <c r="E36" s="109" t="e">
        <f t="shared" si="1"/>
        <v>#DIV/0!</v>
      </c>
    </row>
    <row r="37" spans="1:5" s="42" customFormat="1" x14ac:dyDescent="0.25">
      <c r="A37" s="149"/>
      <c r="B37" s="150"/>
      <c r="C37" s="151"/>
      <c r="D37" s="151"/>
      <c r="E37" s="199"/>
    </row>
    <row r="38" spans="1:5" ht="19.5" x14ac:dyDescent="0.35">
      <c r="A38" s="65" t="s">
        <v>146</v>
      </c>
      <c r="B38" s="66" t="s">
        <v>147</v>
      </c>
      <c r="C38" s="75"/>
      <c r="D38" s="73"/>
      <c r="E38" s="74"/>
    </row>
    <row r="39" spans="1:5" ht="15.75" x14ac:dyDescent="0.25">
      <c r="A39" s="68" t="s">
        <v>144</v>
      </c>
      <c r="B39" s="69"/>
      <c r="C39" s="67"/>
      <c r="D39" s="67"/>
    </row>
    <row r="40" spans="1:5" ht="42.75" x14ac:dyDescent="0.25">
      <c r="A40" s="107" t="s">
        <v>133</v>
      </c>
      <c r="B40" s="108" t="s">
        <v>134</v>
      </c>
      <c r="C40" s="1" t="s">
        <v>209</v>
      </c>
      <c r="D40" s="1" t="s">
        <v>211</v>
      </c>
      <c r="E40" s="109" t="s">
        <v>135</v>
      </c>
    </row>
    <row r="41" spans="1:5" x14ac:dyDescent="0.25">
      <c r="A41" s="110"/>
      <c r="B41" s="111"/>
      <c r="C41" s="112">
        <v>2</v>
      </c>
      <c r="D41" s="112">
        <v>3</v>
      </c>
      <c r="E41" s="113">
        <v>5</v>
      </c>
    </row>
    <row r="42" spans="1:5" x14ac:dyDescent="0.25">
      <c r="A42" s="122">
        <v>32321</v>
      </c>
      <c r="B42" s="98" t="s">
        <v>77</v>
      </c>
      <c r="C42" s="123">
        <v>0</v>
      </c>
      <c r="D42" s="123">
        <v>13596.65</v>
      </c>
      <c r="E42" s="124" t="e">
        <f t="shared" ref="E42:E44" si="2">D42/C42*100</f>
        <v>#DIV/0!</v>
      </c>
    </row>
    <row r="43" spans="1:5" x14ac:dyDescent="0.25">
      <c r="A43" s="122">
        <v>32379</v>
      </c>
      <c r="B43" s="98" t="s">
        <v>216</v>
      </c>
      <c r="C43" s="123">
        <v>0</v>
      </c>
      <c r="D43" s="123">
        <v>1375</v>
      </c>
      <c r="E43" s="124" t="e">
        <f>D43/C43*100</f>
        <v>#DIV/0!</v>
      </c>
    </row>
    <row r="44" spans="1:5" x14ac:dyDescent="0.25">
      <c r="A44" s="103" t="s">
        <v>143</v>
      </c>
      <c r="B44" s="116"/>
      <c r="C44" s="105">
        <f>0</f>
        <v>0</v>
      </c>
      <c r="D44" s="105">
        <f>D42+D43</f>
        <v>14971.65</v>
      </c>
      <c r="E44" s="109" t="e">
        <f t="shared" si="2"/>
        <v>#DIV/0!</v>
      </c>
    </row>
    <row r="45" spans="1:5" s="42" customFormat="1" x14ac:dyDescent="0.25">
      <c r="A45" s="78"/>
      <c r="B45" s="79"/>
      <c r="C45" s="80"/>
      <c r="D45" s="80"/>
      <c r="E45" s="81"/>
    </row>
    <row r="46" spans="1:5" ht="19.5" x14ac:dyDescent="0.35">
      <c r="A46" s="65" t="s">
        <v>146</v>
      </c>
      <c r="B46" s="66" t="s">
        <v>147</v>
      </c>
      <c r="C46" s="75"/>
      <c r="D46" s="73"/>
      <c r="E46" s="74"/>
    </row>
    <row r="47" spans="1:5" x14ac:dyDescent="0.25">
      <c r="A47" s="195" t="s">
        <v>196</v>
      </c>
      <c r="B47" s="196"/>
      <c r="C47" s="196"/>
      <c r="D47" s="67"/>
    </row>
    <row r="48" spans="1:5" ht="42.75" x14ac:dyDescent="0.25">
      <c r="A48" s="107" t="s">
        <v>133</v>
      </c>
      <c r="B48" s="108" t="s">
        <v>134</v>
      </c>
      <c r="C48" s="1" t="s">
        <v>209</v>
      </c>
      <c r="D48" s="1" t="s">
        <v>211</v>
      </c>
      <c r="E48" s="109" t="s">
        <v>135</v>
      </c>
    </row>
    <row r="49" spans="1:5" x14ac:dyDescent="0.25">
      <c r="A49" s="110"/>
      <c r="B49" s="111"/>
      <c r="C49" s="112">
        <v>2</v>
      </c>
      <c r="D49" s="112">
        <v>3</v>
      </c>
      <c r="E49" s="113">
        <v>5</v>
      </c>
    </row>
    <row r="50" spans="1:5" x14ac:dyDescent="0.25">
      <c r="A50" s="122">
        <v>32321</v>
      </c>
      <c r="B50" s="98" t="s">
        <v>77</v>
      </c>
      <c r="C50" s="123">
        <v>0</v>
      </c>
      <c r="D50" s="123">
        <v>0</v>
      </c>
      <c r="E50" s="124" t="e">
        <f t="shared" ref="E50:E51" si="3">D50/C50*100</f>
        <v>#DIV/0!</v>
      </c>
    </row>
    <row r="51" spans="1:5" x14ac:dyDescent="0.25">
      <c r="A51" s="103" t="s">
        <v>143</v>
      </c>
      <c r="B51" s="116"/>
      <c r="C51" s="105">
        <f>0</f>
        <v>0</v>
      </c>
      <c r="D51" s="105">
        <f>D50</f>
        <v>0</v>
      </c>
      <c r="E51" s="109" t="e">
        <f t="shared" si="3"/>
        <v>#DIV/0!</v>
      </c>
    </row>
    <row r="52" spans="1:5" x14ac:dyDescent="0.25">
      <c r="A52" s="118"/>
      <c r="B52" s="119"/>
      <c r="C52" s="120"/>
      <c r="D52" s="120"/>
      <c r="E52" s="157"/>
    </row>
    <row r="53" spans="1:5" ht="19.5" x14ac:dyDescent="0.35">
      <c r="A53" s="65" t="s">
        <v>146</v>
      </c>
      <c r="B53" s="66" t="s">
        <v>147</v>
      </c>
      <c r="C53" s="75"/>
      <c r="D53" s="73"/>
      <c r="E53" s="74"/>
    </row>
    <row r="54" spans="1:5" ht="15" customHeight="1" x14ac:dyDescent="0.25">
      <c r="A54" s="195" t="s">
        <v>156</v>
      </c>
      <c r="B54" s="196"/>
      <c r="C54" s="196"/>
      <c r="D54" s="67"/>
    </row>
    <row r="55" spans="1:5" ht="42.75" x14ac:dyDescent="0.25">
      <c r="A55" s="107" t="s">
        <v>133</v>
      </c>
      <c r="B55" s="108" t="s">
        <v>134</v>
      </c>
      <c r="C55" s="1" t="s">
        <v>209</v>
      </c>
      <c r="D55" s="1" t="s">
        <v>211</v>
      </c>
      <c r="E55" s="109" t="s">
        <v>135</v>
      </c>
    </row>
    <row r="56" spans="1:5" x14ac:dyDescent="0.25">
      <c r="A56" s="110"/>
      <c r="B56" s="111"/>
      <c r="C56" s="112">
        <v>2</v>
      </c>
      <c r="D56" s="112">
        <v>3</v>
      </c>
      <c r="E56" s="113">
        <v>5</v>
      </c>
    </row>
    <row r="57" spans="1:5" x14ac:dyDescent="0.25">
      <c r="A57" s="122">
        <v>32321</v>
      </c>
      <c r="B57" s="98" t="s">
        <v>77</v>
      </c>
      <c r="C57" s="123">
        <v>0</v>
      </c>
      <c r="D57" s="123">
        <v>0</v>
      </c>
      <c r="E57" s="124" t="e">
        <f t="shared" ref="E57:E58" si="4">D57/C57*100</f>
        <v>#DIV/0!</v>
      </c>
    </row>
    <row r="58" spans="1:5" s="42" customFormat="1" x14ac:dyDescent="0.25">
      <c r="A58" s="103" t="s">
        <v>143</v>
      </c>
      <c r="B58" s="116"/>
      <c r="C58" s="105">
        <f>0</f>
        <v>0</v>
      </c>
      <c r="D58" s="105">
        <f>D57</f>
        <v>0</v>
      </c>
      <c r="E58" s="109" t="e">
        <f t="shared" si="4"/>
        <v>#DIV/0!</v>
      </c>
    </row>
    <row r="59" spans="1:5" s="42" customFormat="1" x14ac:dyDescent="0.25">
      <c r="A59" s="118"/>
      <c r="B59" s="119"/>
      <c r="C59" s="120"/>
      <c r="D59" s="120"/>
      <c r="E59" s="157"/>
    </row>
    <row r="60" spans="1:5" ht="15" customHeight="1" x14ac:dyDescent="0.35">
      <c r="A60" s="65" t="s">
        <v>148</v>
      </c>
      <c r="B60" s="66" t="s">
        <v>149</v>
      </c>
      <c r="C60" s="73"/>
      <c r="D60" s="73"/>
      <c r="E60" s="74"/>
    </row>
    <row r="61" spans="1:5" s="42" customFormat="1" ht="15" customHeight="1" x14ac:dyDescent="0.25">
      <c r="A61" s="89" t="s">
        <v>150</v>
      </c>
      <c r="B61" s="90"/>
      <c r="C61" s="82"/>
      <c r="D61" s="82"/>
      <c r="E61" s="77"/>
    </row>
    <row r="62" spans="1:5" ht="42.75" x14ac:dyDescent="0.25">
      <c r="A62" s="107" t="s">
        <v>133</v>
      </c>
      <c r="B62" s="108" t="s">
        <v>134</v>
      </c>
      <c r="C62" s="1" t="s">
        <v>209</v>
      </c>
      <c r="D62" s="1" t="s">
        <v>211</v>
      </c>
      <c r="E62" s="109" t="s">
        <v>135</v>
      </c>
    </row>
    <row r="63" spans="1:5" x14ac:dyDescent="0.25">
      <c r="A63" s="110"/>
      <c r="B63" s="111"/>
      <c r="C63" s="112">
        <v>2</v>
      </c>
      <c r="D63" s="112">
        <v>3</v>
      </c>
      <c r="E63" s="113">
        <v>5</v>
      </c>
    </row>
    <row r="64" spans="1:5" x14ac:dyDescent="0.25">
      <c r="A64" s="125">
        <v>311</v>
      </c>
      <c r="B64" s="126" t="s">
        <v>151</v>
      </c>
      <c r="C64" s="127">
        <v>750000</v>
      </c>
      <c r="D64" s="127">
        <v>537356.30000000005</v>
      </c>
      <c r="E64" s="115">
        <f>D64/C64*100</f>
        <v>71.647506666666672</v>
      </c>
    </row>
    <row r="65" spans="1:5" x14ac:dyDescent="0.25">
      <c r="A65" s="125">
        <v>312</v>
      </c>
      <c r="B65" s="126" t="s">
        <v>63</v>
      </c>
      <c r="C65" s="127">
        <v>40000</v>
      </c>
      <c r="D65" s="127">
        <v>5782.88</v>
      </c>
      <c r="E65" s="115">
        <f t="shared" ref="E65:E69" si="5">D65/C65*100</f>
        <v>14.4572</v>
      </c>
    </row>
    <row r="66" spans="1:5" x14ac:dyDescent="0.25">
      <c r="A66" s="125">
        <v>313</v>
      </c>
      <c r="B66" s="126" t="s">
        <v>109</v>
      </c>
      <c r="C66" s="127">
        <v>150000</v>
      </c>
      <c r="D66" s="127">
        <v>88663.86</v>
      </c>
      <c r="E66" s="115">
        <f t="shared" si="5"/>
        <v>59.10924</v>
      </c>
    </row>
    <row r="67" spans="1:5" x14ac:dyDescent="0.25">
      <c r="A67" s="125">
        <v>321</v>
      </c>
      <c r="B67" s="126" t="s">
        <v>152</v>
      </c>
      <c r="C67" s="127">
        <v>60000</v>
      </c>
      <c r="D67" s="127">
        <v>21160.15</v>
      </c>
      <c r="E67" s="115">
        <f t="shared" si="5"/>
        <v>35.266916666666667</v>
      </c>
    </row>
    <row r="68" spans="1:5" x14ac:dyDescent="0.25">
      <c r="A68" s="125">
        <v>3295</v>
      </c>
      <c r="B68" s="126" t="s">
        <v>153</v>
      </c>
      <c r="C68" s="127">
        <v>4100</v>
      </c>
      <c r="D68" s="127">
        <v>2276</v>
      </c>
      <c r="E68" s="115">
        <f t="shared" si="5"/>
        <v>55.512195121951223</v>
      </c>
    </row>
    <row r="69" spans="1:5" x14ac:dyDescent="0.25">
      <c r="A69" s="103" t="s">
        <v>143</v>
      </c>
      <c r="B69" s="116"/>
      <c r="C69" s="105">
        <f>SUM(C64:C68)</f>
        <v>1004100</v>
      </c>
      <c r="D69" s="105">
        <f>SUM(D64:D68)</f>
        <v>655239.19000000006</v>
      </c>
      <c r="E69" s="117">
        <f t="shared" si="5"/>
        <v>65.25636789164426</v>
      </c>
    </row>
    <row r="70" spans="1:5" x14ac:dyDescent="0.25">
      <c r="A70" s="118"/>
      <c r="B70" s="119"/>
      <c r="C70" s="120"/>
      <c r="D70" s="120"/>
      <c r="E70" s="121"/>
    </row>
    <row r="71" spans="1:5" x14ac:dyDescent="0.25">
      <c r="A71" s="78"/>
      <c r="B71" s="79"/>
      <c r="C71" s="80"/>
      <c r="D71" s="80"/>
      <c r="E71" s="81"/>
    </row>
    <row r="72" spans="1:5" ht="20.100000000000001" customHeight="1" x14ac:dyDescent="0.25">
      <c r="A72" s="155">
        <v>2203</v>
      </c>
      <c r="B72" s="71" t="s">
        <v>177</v>
      </c>
      <c r="C72" s="156">
        <f>C78+C85+C95+C103+C120+C127+C133+C140+C147+C154+C161+C168+C175</f>
        <v>122749.87</v>
      </c>
      <c r="D72" s="156">
        <f>D78+D85+D95+D103+D120+D127+D133+D140+D147+D154+D161+D168+D175</f>
        <v>40709.659999999996</v>
      </c>
      <c r="E72" s="156">
        <f>D72/C72*100</f>
        <v>33.164727587898867</v>
      </c>
    </row>
    <row r="73" spans="1:5" ht="19.5" x14ac:dyDescent="0.35">
      <c r="A73" s="65" t="s">
        <v>154</v>
      </c>
      <c r="B73" s="66" t="s">
        <v>155</v>
      </c>
      <c r="C73" s="75"/>
      <c r="D73" s="73"/>
      <c r="E73" s="74"/>
    </row>
    <row r="74" spans="1:5" s="42" customFormat="1" ht="15.75" x14ac:dyDescent="0.25">
      <c r="A74" s="89" t="s">
        <v>156</v>
      </c>
      <c r="B74" s="90"/>
      <c r="C74" s="82"/>
      <c r="D74" s="82"/>
      <c r="E74" s="77"/>
    </row>
    <row r="75" spans="1:5" ht="42.75" x14ac:dyDescent="0.25">
      <c r="A75" s="107" t="s">
        <v>133</v>
      </c>
      <c r="B75" s="108" t="s">
        <v>134</v>
      </c>
      <c r="C75" s="1" t="s">
        <v>209</v>
      </c>
      <c r="D75" s="1" t="s">
        <v>211</v>
      </c>
      <c r="E75" s="109" t="s">
        <v>135</v>
      </c>
    </row>
    <row r="76" spans="1:5" x14ac:dyDescent="0.25">
      <c r="A76" s="110"/>
      <c r="B76" s="111"/>
      <c r="C76" s="112">
        <v>2</v>
      </c>
      <c r="D76" s="112">
        <v>3</v>
      </c>
      <c r="E76" s="113">
        <v>5</v>
      </c>
    </row>
    <row r="77" spans="1:5" x14ac:dyDescent="0.25">
      <c r="A77" s="101">
        <v>32999</v>
      </c>
      <c r="B77" s="114" t="s">
        <v>157</v>
      </c>
      <c r="C77" s="102">
        <v>0</v>
      </c>
      <c r="D77" s="102">
        <v>673.97</v>
      </c>
      <c r="E77" s="115" t="e">
        <f>D77/C77*100</f>
        <v>#DIV/0!</v>
      </c>
    </row>
    <row r="78" spans="1:5" x14ac:dyDescent="0.25">
      <c r="A78" s="103" t="s">
        <v>143</v>
      </c>
      <c r="B78" s="116"/>
      <c r="C78" s="105">
        <f>C77</f>
        <v>0</v>
      </c>
      <c r="D78" s="105">
        <f>D77</f>
        <v>673.97</v>
      </c>
      <c r="E78" s="117" t="e">
        <f>D78/C78*100</f>
        <v>#DIV/0!</v>
      </c>
    </row>
    <row r="79" spans="1:5" s="42" customFormat="1" x14ac:dyDescent="0.25">
      <c r="A79" s="78"/>
      <c r="B79" s="79"/>
      <c r="C79" s="80"/>
      <c r="D79" s="80"/>
      <c r="E79" s="81"/>
    </row>
    <row r="80" spans="1:5" ht="19.5" x14ac:dyDescent="0.35">
      <c r="A80" s="65" t="s">
        <v>158</v>
      </c>
      <c r="B80" s="66" t="s">
        <v>159</v>
      </c>
      <c r="C80" s="75"/>
      <c r="D80" s="73"/>
      <c r="E80" s="74"/>
    </row>
    <row r="81" spans="1:5" s="42" customFormat="1" ht="15.75" x14ac:dyDescent="0.25">
      <c r="A81" s="89" t="s">
        <v>156</v>
      </c>
      <c r="B81" s="90"/>
      <c r="C81" s="82"/>
      <c r="D81" s="82"/>
      <c r="E81" s="77"/>
    </row>
    <row r="82" spans="1:5" ht="42.75" x14ac:dyDescent="0.25">
      <c r="A82" s="107" t="s">
        <v>133</v>
      </c>
      <c r="B82" s="108" t="s">
        <v>134</v>
      </c>
      <c r="C82" s="1" t="s">
        <v>209</v>
      </c>
      <c r="D82" s="1" t="s">
        <v>211</v>
      </c>
      <c r="E82" s="109" t="s">
        <v>135</v>
      </c>
    </row>
    <row r="83" spans="1:5" x14ac:dyDescent="0.25">
      <c r="A83" s="110"/>
      <c r="B83" s="111"/>
      <c r="C83" s="112">
        <v>2</v>
      </c>
      <c r="D83" s="112">
        <v>3</v>
      </c>
      <c r="E83" s="113">
        <v>5</v>
      </c>
    </row>
    <row r="84" spans="1:5" x14ac:dyDescent="0.25">
      <c r="A84" s="122">
        <v>42641</v>
      </c>
      <c r="B84" s="98" t="s">
        <v>184</v>
      </c>
      <c r="C84" s="123">
        <v>0</v>
      </c>
      <c r="D84" s="123">
        <v>1000</v>
      </c>
      <c r="E84" s="115" t="e">
        <f>D84/C84*100</f>
        <v>#DIV/0!</v>
      </c>
    </row>
    <row r="85" spans="1:5" x14ac:dyDescent="0.25">
      <c r="A85" s="103" t="s">
        <v>143</v>
      </c>
      <c r="B85" s="116"/>
      <c r="C85" s="105">
        <f>C84</f>
        <v>0</v>
      </c>
      <c r="D85" s="105">
        <f>D84</f>
        <v>1000</v>
      </c>
      <c r="E85" s="117" t="e">
        <f>D85/C85*100</f>
        <v>#DIV/0!</v>
      </c>
    </row>
    <row r="86" spans="1:5" s="42" customFormat="1" x14ac:dyDescent="0.25">
      <c r="A86" s="78"/>
      <c r="B86" s="79"/>
      <c r="C86" s="80"/>
      <c r="D86" s="80"/>
      <c r="E86" s="81"/>
    </row>
    <row r="87" spans="1:5" ht="19.5" x14ac:dyDescent="0.35">
      <c r="A87" s="65" t="s">
        <v>160</v>
      </c>
      <c r="B87" s="66" t="s">
        <v>161</v>
      </c>
      <c r="C87" s="73"/>
      <c r="D87" s="73"/>
      <c r="E87" s="74"/>
    </row>
    <row r="88" spans="1:5" s="42" customFormat="1" ht="15.75" x14ac:dyDescent="0.25">
      <c r="A88" s="89" t="s">
        <v>150</v>
      </c>
      <c r="B88" s="90"/>
      <c r="C88" s="82"/>
      <c r="D88" s="82"/>
      <c r="E88" s="77"/>
    </row>
    <row r="89" spans="1:5" ht="42.75" x14ac:dyDescent="0.25">
      <c r="A89" s="107" t="s">
        <v>133</v>
      </c>
      <c r="B89" s="108" t="s">
        <v>134</v>
      </c>
      <c r="C89" s="1" t="s">
        <v>209</v>
      </c>
      <c r="D89" s="1" t="s">
        <v>211</v>
      </c>
      <c r="E89" s="109" t="s">
        <v>135</v>
      </c>
    </row>
    <row r="90" spans="1:5" x14ac:dyDescent="0.25">
      <c r="A90" s="128"/>
      <c r="B90" s="129"/>
      <c r="C90" s="112">
        <v>2</v>
      </c>
      <c r="D90" s="112">
        <v>3</v>
      </c>
      <c r="E90" s="113">
        <v>5</v>
      </c>
    </row>
    <row r="91" spans="1:5" x14ac:dyDescent="0.25">
      <c r="A91" s="130">
        <v>31113</v>
      </c>
      <c r="B91" s="197" t="s">
        <v>217</v>
      </c>
      <c r="C91" s="123">
        <v>0</v>
      </c>
      <c r="D91" s="123">
        <v>245.5</v>
      </c>
      <c r="E91" s="198" t="e">
        <f>D91/C91*100</f>
        <v>#DIV/0!</v>
      </c>
    </row>
    <row r="92" spans="1:5" x14ac:dyDescent="0.25">
      <c r="A92" s="101">
        <v>42411</v>
      </c>
      <c r="B92" s="76" t="s">
        <v>100</v>
      </c>
      <c r="C92" s="102">
        <f>300</f>
        <v>300</v>
      </c>
      <c r="D92" s="102">
        <v>0</v>
      </c>
      <c r="E92" s="115">
        <f t="shared" ref="E92:E95" si="6">D92/C92*100</f>
        <v>0</v>
      </c>
    </row>
    <row r="93" spans="1:5" x14ac:dyDescent="0.25">
      <c r="A93" s="101">
        <v>32221</v>
      </c>
      <c r="B93" s="76" t="s">
        <v>70</v>
      </c>
      <c r="C93" s="102">
        <v>537.87</v>
      </c>
      <c r="D93" s="102">
        <v>679.21</v>
      </c>
      <c r="E93" s="115">
        <f t="shared" si="6"/>
        <v>126.27772510086082</v>
      </c>
    </row>
    <row r="94" spans="1:5" x14ac:dyDescent="0.25">
      <c r="A94" s="101">
        <v>32355</v>
      </c>
      <c r="B94" s="76" t="s">
        <v>79</v>
      </c>
      <c r="C94" s="102">
        <v>0</v>
      </c>
      <c r="D94" s="102">
        <v>1699.2</v>
      </c>
      <c r="E94" s="115" t="e">
        <f>D94/C94*100</f>
        <v>#DIV/0!</v>
      </c>
    </row>
    <row r="95" spans="1:5" x14ac:dyDescent="0.25">
      <c r="A95" s="103" t="s">
        <v>143</v>
      </c>
      <c r="B95" s="116"/>
      <c r="C95" s="105">
        <f>SUM(C92:C94)</f>
        <v>837.87</v>
      </c>
      <c r="D95" s="105">
        <f>SUM(D91:D94)</f>
        <v>2623.91</v>
      </c>
      <c r="E95" s="117">
        <f t="shared" si="6"/>
        <v>313.16433336913838</v>
      </c>
    </row>
    <row r="96" spans="1:5" s="42" customFormat="1" x14ac:dyDescent="0.25">
      <c r="A96" s="92"/>
      <c r="B96" s="93"/>
      <c r="C96" s="94"/>
      <c r="D96" s="94"/>
      <c r="E96" s="77"/>
    </row>
    <row r="97" spans="1:5" s="42" customFormat="1" ht="15.75" x14ac:dyDescent="0.25">
      <c r="A97" s="89" t="s">
        <v>162</v>
      </c>
      <c r="B97" s="90"/>
      <c r="C97" s="82"/>
      <c r="D97" s="82"/>
      <c r="E97" s="77"/>
    </row>
    <row r="98" spans="1:5" ht="42.75" x14ac:dyDescent="0.25">
      <c r="A98" s="107" t="s">
        <v>133</v>
      </c>
      <c r="B98" s="108" t="s">
        <v>134</v>
      </c>
      <c r="C98" s="1" t="s">
        <v>209</v>
      </c>
      <c r="D98" s="1" t="s">
        <v>211</v>
      </c>
      <c r="E98" s="109" t="s">
        <v>135</v>
      </c>
    </row>
    <row r="99" spans="1:5" x14ac:dyDescent="0.25">
      <c r="A99" s="128"/>
      <c r="B99" s="129"/>
      <c r="C99" s="112">
        <v>2</v>
      </c>
      <c r="D99" s="112">
        <v>3</v>
      </c>
      <c r="E99" s="153">
        <v>5</v>
      </c>
    </row>
    <row r="100" spans="1:5" x14ac:dyDescent="0.25">
      <c r="A100" s="130">
        <v>32221</v>
      </c>
      <c r="B100" s="131" t="s">
        <v>70</v>
      </c>
      <c r="C100" s="132">
        <v>2000</v>
      </c>
      <c r="D100" s="132">
        <v>3475.68</v>
      </c>
      <c r="E100" s="154">
        <f>D100/C100*100</f>
        <v>173.78399999999999</v>
      </c>
    </row>
    <row r="101" spans="1:5" x14ac:dyDescent="0.25">
      <c r="A101" s="130">
        <v>32353</v>
      </c>
      <c r="B101" s="131" t="s">
        <v>218</v>
      </c>
      <c r="C101" s="132">
        <v>0</v>
      </c>
      <c r="D101" s="132">
        <v>518.4</v>
      </c>
      <c r="E101" s="154" t="e">
        <f>D101/C101*100</f>
        <v>#DIV/0!</v>
      </c>
    </row>
    <row r="102" spans="1:5" x14ac:dyDescent="0.25">
      <c r="A102" s="101">
        <v>32999</v>
      </c>
      <c r="B102" s="76" t="s">
        <v>84</v>
      </c>
      <c r="C102" s="133">
        <v>3000</v>
      </c>
      <c r="D102" s="133">
        <v>222</v>
      </c>
      <c r="E102" s="134">
        <f>D102/C102*100</f>
        <v>7.3999999999999995</v>
      </c>
    </row>
    <row r="103" spans="1:5" x14ac:dyDescent="0.25">
      <c r="A103" s="103" t="s">
        <v>143</v>
      </c>
      <c r="B103" s="116"/>
      <c r="C103" s="105">
        <f>C100+C102+C101</f>
        <v>5000</v>
      </c>
      <c r="D103" s="105">
        <f>D100+D102+D101</f>
        <v>4216.08</v>
      </c>
      <c r="E103" s="135">
        <f>D103/C103*100</f>
        <v>84.321599999999989</v>
      </c>
    </row>
    <row r="104" spans="1:5" s="42" customFormat="1" x14ac:dyDescent="0.25">
      <c r="A104" s="91"/>
      <c r="B104" s="90"/>
      <c r="C104" s="82"/>
      <c r="D104" s="82"/>
      <c r="E104" s="77"/>
    </row>
    <row r="105" spans="1:5" s="42" customFormat="1" ht="15.75" x14ac:dyDescent="0.25">
      <c r="A105" s="89" t="s">
        <v>163</v>
      </c>
      <c r="B105" s="90"/>
      <c r="C105" s="82"/>
      <c r="D105" s="82"/>
      <c r="E105" s="77"/>
    </row>
    <row r="106" spans="1:5" ht="42.75" x14ac:dyDescent="0.25">
      <c r="A106" s="107" t="s">
        <v>133</v>
      </c>
      <c r="B106" s="108" t="s">
        <v>134</v>
      </c>
      <c r="C106" s="1" t="s">
        <v>209</v>
      </c>
      <c r="D106" s="1" t="s">
        <v>211</v>
      </c>
      <c r="E106" s="109" t="s">
        <v>135</v>
      </c>
    </row>
    <row r="107" spans="1:5" x14ac:dyDescent="0.25">
      <c r="A107" s="128"/>
      <c r="B107" s="129"/>
      <c r="C107" s="112">
        <v>2</v>
      </c>
      <c r="D107" s="112">
        <v>3</v>
      </c>
      <c r="E107" s="113">
        <v>5</v>
      </c>
    </row>
    <row r="108" spans="1:5" x14ac:dyDescent="0.25">
      <c r="A108" s="122">
        <v>32111</v>
      </c>
      <c r="B108" s="98" t="s">
        <v>29</v>
      </c>
      <c r="C108" s="123">
        <v>3500</v>
      </c>
      <c r="D108" s="123">
        <v>1316.51</v>
      </c>
      <c r="E108" s="124">
        <f>D108/C108*100</f>
        <v>37.614571428571431</v>
      </c>
    </row>
    <row r="109" spans="1:5" x14ac:dyDescent="0.25">
      <c r="A109" s="122">
        <v>32141</v>
      </c>
      <c r="B109" s="98" t="s">
        <v>178</v>
      </c>
      <c r="C109" s="123">
        <v>800</v>
      </c>
      <c r="D109" s="123">
        <v>115.2</v>
      </c>
      <c r="E109" s="124">
        <f t="shared" ref="E109:E120" si="7">D109/C109*100</f>
        <v>14.400000000000002</v>
      </c>
    </row>
    <row r="110" spans="1:5" x14ac:dyDescent="0.25">
      <c r="A110" s="122">
        <v>32211</v>
      </c>
      <c r="B110" s="98" t="s">
        <v>202</v>
      </c>
      <c r="C110" s="123">
        <v>0</v>
      </c>
      <c r="D110" s="123">
        <v>121</v>
      </c>
      <c r="E110" s="124" t="e">
        <f>D110/C110*100</f>
        <v>#DIV/0!</v>
      </c>
    </row>
    <row r="111" spans="1:5" x14ac:dyDescent="0.25">
      <c r="A111" s="101">
        <v>32221</v>
      </c>
      <c r="B111" s="76" t="s">
        <v>179</v>
      </c>
      <c r="C111" s="102">
        <v>3000</v>
      </c>
      <c r="D111" s="102">
        <v>131.91</v>
      </c>
      <c r="E111" s="124">
        <f t="shared" si="7"/>
        <v>4.3970000000000002</v>
      </c>
    </row>
    <row r="112" spans="1:5" x14ac:dyDescent="0.25">
      <c r="A112" s="101">
        <v>32251</v>
      </c>
      <c r="B112" s="76" t="s">
        <v>139</v>
      </c>
      <c r="C112" s="102">
        <v>500</v>
      </c>
      <c r="D112" s="102">
        <v>119</v>
      </c>
      <c r="E112" s="124">
        <f t="shared" si="7"/>
        <v>23.799999999999997</v>
      </c>
    </row>
    <row r="113" spans="1:5" x14ac:dyDescent="0.25">
      <c r="A113" s="101">
        <v>32311</v>
      </c>
      <c r="B113" s="76" t="s">
        <v>76</v>
      </c>
      <c r="C113" s="102">
        <v>2000</v>
      </c>
      <c r="D113" s="102">
        <v>0</v>
      </c>
      <c r="E113" s="124">
        <f t="shared" si="7"/>
        <v>0</v>
      </c>
    </row>
    <row r="114" spans="1:5" x14ac:dyDescent="0.25">
      <c r="A114" s="101">
        <v>32321</v>
      </c>
      <c r="B114" s="76" t="s">
        <v>180</v>
      </c>
      <c r="C114" s="102">
        <v>2000</v>
      </c>
      <c r="D114" s="102">
        <v>656.25</v>
      </c>
      <c r="E114" s="124">
        <f t="shared" si="7"/>
        <v>32.8125</v>
      </c>
    </row>
    <row r="115" spans="1:5" x14ac:dyDescent="0.25">
      <c r="A115" s="101">
        <v>32341</v>
      </c>
      <c r="B115" s="76" t="s">
        <v>181</v>
      </c>
      <c r="C115" s="102">
        <v>3000</v>
      </c>
      <c r="D115" s="102">
        <v>0</v>
      </c>
      <c r="E115" s="124">
        <f t="shared" si="7"/>
        <v>0</v>
      </c>
    </row>
    <row r="116" spans="1:5" x14ac:dyDescent="0.25">
      <c r="A116" s="101">
        <v>32389</v>
      </c>
      <c r="B116" s="76" t="s">
        <v>185</v>
      </c>
      <c r="C116" s="102">
        <v>1500</v>
      </c>
      <c r="D116" s="102">
        <v>0</v>
      </c>
      <c r="E116" s="124">
        <f t="shared" si="7"/>
        <v>0</v>
      </c>
    </row>
    <row r="117" spans="1:5" x14ac:dyDescent="0.25">
      <c r="A117" s="101">
        <v>32999</v>
      </c>
      <c r="B117" s="76" t="s">
        <v>84</v>
      </c>
      <c r="C117" s="102">
        <v>1000</v>
      </c>
      <c r="D117" s="102">
        <v>477.5</v>
      </c>
      <c r="E117" s="124">
        <f t="shared" si="7"/>
        <v>47.75</v>
      </c>
    </row>
    <row r="118" spans="1:5" x14ac:dyDescent="0.25">
      <c r="A118" s="101">
        <v>42212</v>
      </c>
      <c r="B118" s="76" t="s">
        <v>167</v>
      </c>
      <c r="C118" s="102">
        <v>500</v>
      </c>
      <c r="D118" s="102">
        <v>0</v>
      </c>
      <c r="E118" s="124">
        <f t="shared" si="7"/>
        <v>0</v>
      </c>
    </row>
    <row r="119" spans="1:5" x14ac:dyDescent="0.25">
      <c r="A119" s="101">
        <v>42231</v>
      </c>
      <c r="B119" s="76" t="s">
        <v>197</v>
      </c>
      <c r="C119" s="102">
        <v>1500</v>
      </c>
      <c r="D119" s="102">
        <v>0</v>
      </c>
      <c r="E119" s="124">
        <f t="shared" si="7"/>
        <v>0</v>
      </c>
    </row>
    <row r="120" spans="1:5" x14ac:dyDescent="0.25">
      <c r="A120" s="103" t="s">
        <v>143</v>
      </c>
      <c r="B120" s="116"/>
      <c r="C120" s="105">
        <f>SUM(C108:C119)</f>
        <v>19300</v>
      </c>
      <c r="D120" s="105">
        <f>SUM(D108:D119)</f>
        <v>2937.37</v>
      </c>
      <c r="E120" s="109">
        <f t="shared" si="7"/>
        <v>15.219533678756475</v>
      </c>
    </row>
    <row r="121" spans="1:5" s="42" customFormat="1" x14ac:dyDescent="0.25">
      <c r="A121" s="90"/>
      <c r="B121" s="90"/>
      <c r="C121" s="82"/>
      <c r="D121" s="82"/>
      <c r="E121" s="77"/>
    </row>
    <row r="122" spans="1:5" s="42" customFormat="1" ht="15.75" x14ac:dyDescent="0.25">
      <c r="A122" s="89" t="s">
        <v>164</v>
      </c>
      <c r="B122" s="90"/>
      <c r="C122" s="82"/>
      <c r="D122" s="82"/>
      <c r="E122" s="77"/>
    </row>
    <row r="123" spans="1:5" ht="42.75" x14ac:dyDescent="0.25">
      <c r="A123" s="107" t="s">
        <v>133</v>
      </c>
      <c r="B123" s="108" t="s">
        <v>134</v>
      </c>
      <c r="C123" s="1" t="s">
        <v>209</v>
      </c>
      <c r="D123" s="1" t="s">
        <v>211</v>
      </c>
      <c r="E123" s="109" t="s">
        <v>135</v>
      </c>
    </row>
    <row r="124" spans="1:5" x14ac:dyDescent="0.25">
      <c r="A124" s="128"/>
      <c r="B124" s="129"/>
      <c r="C124" s="112">
        <v>2</v>
      </c>
      <c r="D124" s="112">
        <v>3</v>
      </c>
      <c r="E124" s="113">
        <v>5</v>
      </c>
    </row>
    <row r="125" spans="1:5" x14ac:dyDescent="0.25">
      <c r="A125" s="101">
        <v>32999</v>
      </c>
      <c r="B125" s="76" t="s">
        <v>84</v>
      </c>
      <c r="C125" s="102">
        <v>2000</v>
      </c>
      <c r="D125" s="102">
        <v>0</v>
      </c>
      <c r="E125" s="115">
        <f>D125/C125*100</f>
        <v>0</v>
      </c>
    </row>
    <row r="126" spans="1:5" x14ac:dyDescent="0.25">
      <c r="A126" s="101">
        <v>42212</v>
      </c>
      <c r="B126" s="76" t="s">
        <v>167</v>
      </c>
      <c r="C126" s="102">
        <v>2000</v>
      </c>
      <c r="D126" s="102">
        <v>0</v>
      </c>
      <c r="E126" s="115">
        <f>D126/C126*100</f>
        <v>0</v>
      </c>
    </row>
    <row r="127" spans="1:5" x14ac:dyDescent="0.25">
      <c r="A127" s="103" t="s">
        <v>143</v>
      </c>
      <c r="B127" s="116"/>
      <c r="C127" s="105">
        <f>SUM(C125:C126)</f>
        <v>4000</v>
      </c>
      <c r="D127" s="105">
        <f>SUM(D125:D126)</f>
        <v>0</v>
      </c>
      <c r="E127" s="117">
        <f>D127/C127*100</f>
        <v>0</v>
      </c>
    </row>
    <row r="128" spans="1:5" x14ac:dyDescent="0.25">
      <c r="A128" s="149"/>
      <c r="B128" s="150"/>
      <c r="C128" s="151"/>
      <c r="D128" s="151"/>
      <c r="E128" s="152"/>
    </row>
    <row r="129" spans="1:5" s="42" customFormat="1" x14ac:dyDescent="0.25">
      <c r="A129" s="189" t="s">
        <v>198</v>
      </c>
      <c r="B129" s="190"/>
      <c r="C129" s="82"/>
      <c r="D129" s="82"/>
      <c r="E129" s="77"/>
    </row>
    <row r="130" spans="1:5" ht="42.75" x14ac:dyDescent="0.25">
      <c r="A130" s="107" t="s">
        <v>133</v>
      </c>
      <c r="B130" s="108" t="s">
        <v>134</v>
      </c>
      <c r="C130" s="1" t="s">
        <v>209</v>
      </c>
      <c r="D130" s="1" t="s">
        <v>211</v>
      </c>
      <c r="E130" s="109" t="s">
        <v>135</v>
      </c>
    </row>
    <row r="131" spans="1:5" x14ac:dyDescent="0.25">
      <c r="A131" s="128"/>
      <c r="B131" s="129"/>
      <c r="C131" s="112">
        <v>2</v>
      </c>
      <c r="D131" s="112">
        <v>3</v>
      </c>
      <c r="E131" s="113">
        <v>5</v>
      </c>
    </row>
    <row r="132" spans="1:5" x14ac:dyDescent="0.25">
      <c r="A132" s="101">
        <v>32229</v>
      </c>
      <c r="B132" s="76" t="s">
        <v>219</v>
      </c>
      <c r="C132" s="102">
        <v>1000</v>
      </c>
      <c r="D132" s="102">
        <v>0</v>
      </c>
      <c r="E132" s="115">
        <f>D132/C132*100</f>
        <v>0</v>
      </c>
    </row>
    <row r="133" spans="1:5" x14ac:dyDescent="0.25">
      <c r="A133" s="103" t="s">
        <v>143</v>
      </c>
      <c r="B133" s="116"/>
      <c r="C133" s="105">
        <f>SUM(C132:C132)</f>
        <v>1000</v>
      </c>
      <c r="D133" s="105">
        <f>SUM(D132:D132)</f>
        <v>0</v>
      </c>
      <c r="E133" s="117">
        <f>D133/C133*100</f>
        <v>0</v>
      </c>
    </row>
    <row r="134" spans="1:5" s="42" customFormat="1" x14ac:dyDescent="0.25">
      <c r="A134" s="91"/>
      <c r="B134" s="90"/>
      <c r="C134" s="82"/>
      <c r="D134" s="82"/>
      <c r="E134" s="77"/>
    </row>
    <row r="135" spans="1:5" ht="19.5" x14ac:dyDescent="0.35">
      <c r="A135" s="65" t="s">
        <v>165</v>
      </c>
      <c r="B135" s="66" t="s">
        <v>166</v>
      </c>
      <c r="C135" s="73"/>
      <c r="D135" s="73"/>
      <c r="E135" s="74"/>
    </row>
    <row r="136" spans="1:5" s="42" customFormat="1" ht="15.75" x14ac:dyDescent="0.25">
      <c r="A136" s="89" t="s">
        <v>168</v>
      </c>
      <c r="B136" s="90"/>
      <c r="C136" s="82"/>
      <c r="D136" s="82"/>
      <c r="E136" s="77"/>
    </row>
    <row r="137" spans="1:5" ht="42.75" x14ac:dyDescent="0.25">
      <c r="A137" s="107" t="s">
        <v>133</v>
      </c>
      <c r="B137" s="108" t="s">
        <v>134</v>
      </c>
      <c r="C137" s="1" t="s">
        <v>209</v>
      </c>
      <c r="D137" s="1" t="s">
        <v>211</v>
      </c>
      <c r="E137" s="109" t="s">
        <v>135</v>
      </c>
    </row>
    <row r="138" spans="1:5" x14ac:dyDescent="0.25">
      <c r="A138" s="130"/>
      <c r="B138" s="98"/>
      <c r="C138" s="112">
        <v>2</v>
      </c>
      <c r="D138" s="112">
        <v>3</v>
      </c>
      <c r="E138" s="113">
        <v>5</v>
      </c>
    </row>
    <row r="139" spans="1:5" x14ac:dyDescent="0.25">
      <c r="A139" s="101">
        <v>32999</v>
      </c>
      <c r="B139" s="136" t="s">
        <v>182</v>
      </c>
      <c r="C139" s="137">
        <v>3000</v>
      </c>
      <c r="D139" s="137">
        <v>979.55</v>
      </c>
      <c r="E139" s="124">
        <f t="shared" ref="E139:E140" si="8">D139/C139*100</f>
        <v>32.651666666666671</v>
      </c>
    </row>
    <row r="140" spans="1:5" x14ac:dyDescent="0.25">
      <c r="A140" s="103" t="s">
        <v>145</v>
      </c>
      <c r="B140" s="116"/>
      <c r="C140" s="105">
        <f>SUM(C139:C139)</f>
        <v>3000</v>
      </c>
      <c r="D140" s="105">
        <f>SUM(D139:D139)</f>
        <v>979.55</v>
      </c>
      <c r="E140" s="109">
        <f t="shared" si="8"/>
        <v>32.651666666666671</v>
      </c>
    </row>
    <row r="141" spans="1:5" s="42" customFormat="1" x14ac:dyDescent="0.25">
      <c r="A141" s="118"/>
      <c r="B141" s="119"/>
      <c r="C141" s="120"/>
      <c r="D141" s="120"/>
      <c r="E141" s="157"/>
    </row>
    <row r="142" spans="1:5" ht="19.5" x14ac:dyDescent="0.35">
      <c r="A142" s="65" t="s">
        <v>165</v>
      </c>
      <c r="B142" s="66" t="s">
        <v>166</v>
      </c>
      <c r="C142" s="73"/>
      <c r="D142" s="73"/>
      <c r="E142" s="74"/>
    </row>
    <row r="143" spans="1:5" x14ac:dyDescent="0.25">
      <c r="A143" s="200" t="s">
        <v>199</v>
      </c>
      <c r="B143" s="196"/>
      <c r="C143" s="196"/>
      <c r="D143" s="82"/>
      <c r="E143" s="77"/>
    </row>
    <row r="144" spans="1:5" ht="42.75" x14ac:dyDescent="0.25">
      <c r="A144" s="107" t="s">
        <v>133</v>
      </c>
      <c r="B144" s="108" t="s">
        <v>134</v>
      </c>
      <c r="C144" s="1" t="s">
        <v>209</v>
      </c>
      <c r="D144" s="1" t="s">
        <v>211</v>
      </c>
      <c r="E144" s="109" t="s">
        <v>135</v>
      </c>
    </row>
    <row r="145" spans="1:5" x14ac:dyDescent="0.25">
      <c r="A145" s="130"/>
      <c r="B145" s="98"/>
      <c r="C145" s="112">
        <v>2</v>
      </c>
      <c r="D145" s="112">
        <v>3</v>
      </c>
      <c r="E145" s="113">
        <v>5</v>
      </c>
    </row>
    <row r="146" spans="1:5" x14ac:dyDescent="0.25">
      <c r="A146" s="101">
        <v>32999</v>
      </c>
      <c r="B146" s="136" t="s">
        <v>182</v>
      </c>
      <c r="C146" s="137">
        <v>0</v>
      </c>
      <c r="D146" s="137">
        <v>120</v>
      </c>
      <c r="E146" s="124" t="e">
        <f t="shared" ref="E146:E147" si="9">D146/C146*100</f>
        <v>#DIV/0!</v>
      </c>
    </row>
    <row r="147" spans="1:5" x14ac:dyDescent="0.25">
      <c r="A147" s="103" t="s">
        <v>145</v>
      </c>
      <c r="B147" s="116"/>
      <c r="C147" s="105">
        <f>SUM(C146:C146)</f>
        <v>0</v>
      </c>
      <c r="D147" s="105">
        <f>SUM(D146:D146)</f>
        <v>120</v>
      </c>
      <c r="E147" s="109" t="e">
        <f t="shared" si="9"/>
        <v>#DIV/0!</v>
      </c>
    </row>
    <row r="148" spans="1:5" s="42" customFormat="1" x14ac:dyDescent="0.25">
      <c r="A148" s="78"/>
      <c r="B148" s="79"/>
      <c r="C148" s="80"/>
      <c r="D148" s="80"/>
      <c r="E148" s="81"/>
    </row>
    <row r="149" spans="1:5" ht="19.5" x14ac:dyDescent="0.35">
      <c r="A149" s="65" t="s">
        <v>170</v>
      </c>
      <c r="B149" s="66" t="s">
        <v>171</v>
      </c>
      <c r="C149" s="73"/>
      <c r="D149" s="73"/>
      <c r="E149" s="74"/>
    </row>
    <row r="150" spans="1:5" s="42" customFormat="1" ht="15.75" x14ac:dyDescent="0.25">
      <c r="A150" s="89" t="s">
        <v>150</v>
      </c>
      <c r="B150" s="90"/>
      <c r="C150" s="82"/>
      <c r="D150" s="82"/>
      <c r="E150" s="77"/>
    </row>
    <row r="151" spans="1:5" ht="42.75" x14ac:dyDescent="0.25">
      <c r="A151" s="107" t="s">
        <v>133</v>
      </c>
      <c r="B151" s="108" t="s">
        <v>134</v>
      </c>
      <c r="C151" s="1" t="s">
        <v>209</v>
      </c>
      <c r="D151" s="1" t="s">
        <v>211</v>
      </c>
      <c r="E151" s="109" t="s">
        <v>135</v>
      </c>
    </row>
    <row r="152" spans="1:5" x14ac:dyDescent="0.25">
      <c r="A152" s="128"/>
      <c r="B152" s="129"/>
      <c r="C152" s="112">
        <v>2</v>
      </c>
      <c r="D152" s="112">
        <v>3</v>
      </c>
      <c r="E152" s="113">
        <v>5</v>
      </c>
    </row>
    <row r="153" spans="1:5" x14ac:dyDescent="0.25">
      <c r="A153" s="101">
        <v>42411</v>
      </c>
      <c r="B153" s="76" t="s">
        <v>171</v>
      </c>
      <c r="C153" s="102">
        <v>19000</v>
      </c>
      <c r="D153" s="102">
        <v>0</v>
      </c>
      <c r="E153" s="117">
        <f>D153/C153*100</f>
        <v>0</v>
      </c>
    </row>
    <row r="154" spans="1:5" x14ac:dyDescent="0.25">
      <c r="A154" s="103" t="s">
        <v>145</v>
      </c>
      <c r="B154" s="116"/>
      <c r="C154" s="105">
        <f>C153</f>
        <v>19000</v>
      </c>
      <c r="D154" s="105">
        <f>D153</f>
        <v>0</v>
      </c>
      <c r="E154" s="117">
        <f>D154/C154*100</f>
        <v>0</v>
      </c>
    </row>
    <row r="155" spans="1:5" s="42" customFormat="1" x14ac:dyDescent="0.25">
      <c r="A155" s="91"/>
      <c r="B155" s="90"/>
      <c r="C155" s="82"/>
      <c r="D155" s="82"/>
      <c r="E155" s="77"/>
    </row>
    <row r="156" spans="1:5" ht="19.5" x14ac:dyDescent="0.35">
      <c r="A156" s="65" t="s">
        <v>172</v>
      </c>
      <c r="B156" s="66" t="s">
        <v>173</v>
      </c>
      <c r="C156" s="73"/>
      <c r="D156" s="73"/>
      <c r="E156" s="74"/>
    </row>
    <row r="157" spans="1:5" s="42" customFormat="1" ht="15.75" x14ac:dyDescent="0.25">
      <c r="A157" s="89" t="s">
        <v>150</v>
      </c>
      <c r="B157" s="90"/>
      <c r="C157" s="82"/>
      <c r="D157" s="82"/>
      <c r="E157" s="77"/>
    </row>
    <row r="158" spans="1:5" ht="42.75" x14ac:dyDescent="0.25">
      <c r="A158" s="107" t="s">
        <v>133</v>
      </c>
      <c r="B158" s="108" t="s">
        <v>134</v>
      </c>
      <c r="C158" s="1" t="s">
        <v>209</v>
      </c>
      <c r="D158" s="1" t="s">
        <v>211</v>
      </c>
      <c r="E158" s="109" t="s">
        <v>135</v>
      </c>
    </row>
    <row r="159" spans="1:5" x14ac:dyDescent="0.25">
      <c r="A159" s="128"/>
      <c r="B159" s="129"/>
      <c r="C159" s="112">
        <v>2</v>
      </c>
      <c r="D159" s="112">
        <v>3</v>
      </c>
      <c r="E159" s="113">
        <v>5</v>
      </c>
    </row>
    <row r="160" spans="1:5" x14ac:dyDescent="0.25">
      <c r="A160" s="101">
        <v>32224</v>
      </c>
      <c r="B160" s="76" t="s">
        <v>169</v>
      </c>
      <c r="C160" s="102">
        <v>70000</v>
      </c>
      <c r="D160" s="102">
        <v>26761.03</v>
      </c>
      <c r="E160" s="115">
        <f>D160/C160*100</f>
        <v>38.230042857142855</v>
      </c>
    </row>
    <row r="161" spans="1:5" x14ac:dyDescent="0.25">
      <c r="A161" s="103" t="s">
        <v>145</v>
      </c>
      <c r="B161" s="116"/>
      <c r="C161" s="105">
        <f>C160</f>
        <v>70000</v>
      </c>
      <c r="D161" s="105">
        <f>D160</f>
        <v>26761.03</v>
      </c>
      <c r="E161" s="117">
        <f>D161/C161*100</f>
        <v>38.230042857142855</v>
      </c>
    </row>
    <row r="162" spans="1:5" s="42" customFormat="1" x14ac:dyDescent="0.25">
      <c r="A162" s="78"/>
      <c r="B162" s="79"/>
      <c r="C162" s="80"/>
      <c r="D162" s="80"/>
      <c r="E162" s="81"/>
    </row>
    <row r="163" spans="1:5" ht="19.5" x14ac:dyDescent="0.35">
      <c r="A163" s="65" t="s">
        <v>174</v>
      </c>
      <c r="B163" s="147" t="s">
        <v>189</v>
      </c>
      <c r="C163" s="73"/>
      <c r="D163" s="73"/>
      <c r="E163" s="74"/>
    </row>
    <row r="164" spans="1:5" s="42" customFormat="1" ht="15.75" x14ac:dyDescent="0.25">
      <c r="A164" s="89" t="s">
        <v>150</v>
      </c>
      <c r="B164" s="90"/>
      <c r="C164" s="82"/>
      <c r="D164" s="82"/>
      <c r="E164" s="77"/>
    </row>
    <row r="165" spans="1:5" ht="42.75" x14ac:dyDescent="0.25">
      <c r="A165" s="107" t="s">
        <v>133</v>
      </c>
      <c r="B165" s="108" t="s">
        <v>134</v>
      </c>
      <c r="C165" s="1" t="s">
        <v>209</v>
      </c>
      <c r="D165" s="1" t="s">
        <v>211</v>
      </c>
      <c r="E165" s="109" t="s">
        <v>135</v>
      </c>
    </row>
    <row r="166" spans="1:5" x14ac:dyDescent="0.25">
      <c r="A166" s="128"/>
      <c r="B166" s="129"/>
      <c r="C166" s="112">
        <v>2</v>
      </c>
      <c r="D166" s="112">
        <v>3</v>
      </c>
      <c r="E166" s="113">
        <v>5</v>
      </c>
    </row>
    <row r="167" spans="1:5" x14ac:dyDescent="0.25">
      <c r="A167" s="101">
        <v>38129</v>
      </c>
      <c r="B167" s="76" t="s">
        <v>183</v>
      </c>
      <c r="C167" s="102">
        <v>612</v>
      </c>
      <c r="D167" s="102">
        <v>575</v>
      </c>
      <c r="E167" s="115">
        <f>D167/C167*100</f>
        <v>93.954248366013076</v>
      </c>
    </row>
    <row r="168" spans="1:5" x14ac:dyDescent="0.25">
      <c r="A168" s="103" t="s">
        <v>145</v>
      </c>
      <c r="B168" s="116"/>
      <c r="C168" s="105">
        <f>C167</f>
        <v>612</v>
      </c>
      <c r="D168" s="105">
        <f>D167</f>
        <v>575</v>
      </c>
      <c r="E168" s="117">
        <f>D168/C168*100</f>
        <v>93.954248366013076</v>
      </c>
    </row>
    <row r="169" spans="1:5" s="42" customFormat="1" x14ac:dyDescent="0.25">
      <c r="A169" s="118"/>
      <c r="B169" s="119"/>
      <c r="C169" s="120"/>
      <c r="D169" s="120"/>
      <c r="E169" s="121"/>
    </row>
    <row r="170" spans="1:5" ht="19.5" x14ac:dyDescent="0.35">
      <c r="A170" s="65" t="s">
        <v>220</v>
      </c>
      <c r="B170" s="147" t="s">
        <v>221</v>
      </c>
      <c r="C170" s="73"/>
      <c r="D170" s="73"/>
      <c r="E170" s="74"/>
    </row>
    <row r="171" spans="1:5" x14ac:dyDescent="0.25">
      <c r="A171" s="200" t="s">
        <v>156</v>
      </c>
      <c r="B171" s="196"/>
      <c r="C171" s="196"/>
      <c r="D171" s="82"/>
      <c r="E171" s="77"/>
    </row>
    <row r="172" spans="1:5" ht="42.75" x14ac:dyDescent="0.25">
      <c r="A172" s="107" t="s">
        <v>133</v>
      </c>
      <c r="B172" s="108" t="s">
        <v>134</v>
      </c>
      <c r="C172" s="1" t="s">
        <v>209</v>
      </c>
      <c r="D172" s="1" t="s">
        <v>211</v>
      </c>
      <c r="E172" s="109" t="s">
        <v>135</v>
      </c>
    </row>
    <row r="173" spans="1:5" x14ac:dyDescent="0.25">
      <c r="A173" s="128"/>
      <c r="B173" s="129"/>
      <c r="C173" s="112">
        <v>2</v>
      </c>
      <c r="D173" s="112">
        <v>3</v>
      </c>
      <c r="E173" s="113">
        <v>5</v>
      </c>
    </row>
    <row r="174" spans="1:5" x14ac:dyDescent="0.25">
      <c r="A174" s="101">
        <v>32379</v>
      </c>
      <c r="B174" s="76" t="s">
        <v>222</v>
      </c>
      <c r="C174" s="102">
        <v>0</v>
      </c>
      <c r="D174" s="102">
        <v>822.75</v>
      </c>
      <c r="E174" s="115" t="e">
        <f>D174/C174*100</f>
        <v>#DIV/0!</v>
      </c>
    </row>
    <row r="175" spans="1:5" s="42" customFormat="1" x14ac:dyDescent="0.25">
      <c r="A175" s="103" t="s">
        <v>145</v>
      </c>
      <c r="B175" s="116"/>
      <c r="C175" s="105">
        <f>C174</f>
        <v>0</v>
      </c>
      <c r="D175" s="105">
        <f>D174</f>
        <v>822.75</v>
      </c>
      <c r="E175" s="117" t="e">
        <f>D175/C175*100</f>
        <v>#DIV/0!</v>
      </c>
    </row>
    <row r="176" spans="1:5" s="42" customFormat="1" x14ac:dyDescent="0.25">
      <c r="A176" s="118"/>
      <c r="B176" s="119"/>
      <c r="C176" s="120"/>
      <c r="D176" s="120"/>
      <c r="E176" s="121"/>
    </row>
    <row r="177" spans="1:5" s="42" customFormat="1" ht="19.5" x14ac:dyDescent="0.25">
      <c r="A177" s="155">
        <v>4306</v>
      </c>
      <c r="B177" s="71" t="s">
        <v>200</v>
      </c>
      <c r="C177" s="156">
        <f>C184+C193+C200</f>
        <v>0</v>
      </c>
      <c r="D177" s="156">
        <f>D184+D193+D200+D207</f>
        <v>36305.67</v>
      </c>
      <c r="E177" s="156" t="e">
        <f>D177/C177*100</f>
        <v>#DIV/0!</v>
      </c>
    </row>
    <row r="178" spans="1:5" s="42" customFormat="1" ht="16.5" x14ac:dyDescent="0.35">
      <c r="A178" s="201" t="s">
        <v>223</v>
      </c>
      <c r="B178" s="202"/>
      <c r="C178" s="203"/>
      <c r="D178" s="73"/>
      <c r="E178" s="74"/>
    </row>
    <row r="179" spans="1:5" ht="15.75" x14ac:dyDescent="0.25">
      <c r="A179" s="192" t="s">
        <v>203</v>
      </c>
      <c r="B179" s="193"/>
      <c r="C179" s="193"/>
      <c r="D179" s="193"/>
      <c r="E179" s="193"/>
    </row>
    <row r="180" spans="1:5" ht="42.75" x14ac:dyDescent="0.25">
      <c r="A180" s="107" t="s">
        <v>133</v>
      </c>
      <c r="B180" s="108" t="s">
        <v>134</v>
      </c>
      <c r="C180" s="1" t="s">
        <v>209</v>
      </c>
      <c r="D180" s="1" t="s">
        <v>211</v>
      </c>
      <c r="E180" s="109" t="s">
        <v>135</v>
      </c>
    </row>
    <row r="181" spans="1:5" x14ac:dyDescent="0.25">
      <c r="A181" s="128"/>
      <c r="B181" s="129"/>
      <c r="C181" s="112">
        <v>2</v>
      </c>
      <c r="D181" s="112">
        <v>3</v>
      </c>
      <c r="E181" s="113">
        <v>5</v>
      </c>
    </row>
    <row r="182" spans="1:5" x14ac:dyDescent="0.25">
      <c r="A182" s="101">
        <v>31111</v>
      </c>
      <c r="B182" s="76" t="s">
        <v>204</v>
      </c>
      <c r="C182" s="102">
        <v>0</v>
      </c>
      <c r="D182" s="102">
        <v>0</v>
      </c>
      <c r="E182" s="115" t="e">
        <f>D182/C182*100</f>
        <v>#DIV/0!</v>
      </c>
    </row>
    <row r="183" spans="1:5" x14ac:dyDescent="0.25">
      <c r="A183" s="101">
        <v>31111</v>
      </c>
      <c r="B183" s="76" t="s">
        <v>205</v>
      </c>
      <c r="C183" s="102">
        <v>0</v>
      </c>
      <c r="D183" s="102">
        <v>0</v>
      </c>
      <c r="E183" s="115" t="e">
        <f>D183/C183*100</f>
        <v>#DIV/0!</v>
      </c>
    </row>
    <row r="184" spans="1:5" s="42" customFormat="1" x14ac:dyDescent="0.25">
      <c r="A184" s="103" t="s">
        <v>143</v>
      </c>
      <c r="B184" s="116"/>
      <c r="C184" s="105">
        <v>0</v>
      </c>
      <c r="D184" s="105">
        <f>SUM(D182:D183)</f>
        <v>0</v>
      </c>
      <c r="E184" s="115" t="e">
        <f>D184/C184*100</f>
        <v>#DIV/0!</v>
      </c>
    </row>
    <row r="185" spans="1:5" s="42" customFormat="1" x14ac:dyDescent="0.25">
      <c r="A185" s="91"/>
      <c r="B185" s="90"/>
      <c r="C185" s="82"/>
      <c r="D185" s="82"/>
      <c r="E185" s="77"/>
    </row>
    <row r="186" spans="1:5" ht="15.75" x14ac:dyDescent="0.25">
      <c r="A186" s="89" t="s">
        <v>156</v>
      </c>
      <c r="B186" s="90"/>
      <c r="C186" s="82"/>
      <c r="D186" s="82"/>
      <c r="E186" s="77"/>
    </row>
    <row r="187" spans="1:5" ht="42.75" x14ac:dyDescent="0.25">
      <c r="A187" s="107" t="s">
        <v>133</v>
      </c>
      <c r="B187" s="108" t="s">
        <v>134</v>
      </c>
      <c r="C187" s="1" t="s">
        <v>209</v>
      </c>
      <c r="D187" s="1" t="s">
        <v>211</v>
      </c>
      <c r="E187" s="109" t="s">
        <v>135</v>
      </c>
    </row>
    <row r="188" spans="1:5" x14ac:dyDescent="0.25">
      <c r="A188" s="128"/>
      <c r="B188" s="129"/>
      <c r="C188" s="112">
        <v>2</v>
      </c>
      <c r="D188" s="112">
        <v>3</v>
      </c>
      <c r="E188" s="113">
        <v>5</v>
      </c>
    </row>
    <row r="189" spans="1:5" x14ac:dyDescent="0.25">
      <c r="A189" s="101">
        <v>31111</v>
      </c>
      <c r="B189" s="76" t="s">
        <v>225</v>
      </c>
      <c r="C189" s="102">
        <v>0</v>
      </c>
      <c r="D189" s="102">
        <v>4950</v>
      </c>
      <c r="E189" s="115" t="e">
        <f t="shared" ref="E189:E193" si="10">D189/C189*100</f>
        <v>#DIV/0!</v>
      </c>
    </row>
    <row r="190" spans="1:5" x14ac:dyDescent="0.25">
      <c r="A190" s="101">
        <v>31219</v>
      </c>
      <c r="B190" s="76" t="s">
        <v>224</v>
      </c>
      <c r="C190" s="102">
        <v>0</v>
      </c>
      <c r="D190" s="102">
        <v>500</v>
      </c>
      <c r="E190" s="115" t="e">
        <f t="shared" si="10"/>
        <v>#DIV/0!</v>
      </c>
    </row>
    <row r="191" spans="1:5" x14ac:dyDescent="0.25">
      <c r="A191" s="101">
        <v>31321</v>
      </c>
      <c r="B191" s="76" t="s">
        <v>226</v>
      </c>
      <c r="C191" s="102">
        <v>0</v>
      </c>
      <c r="D191" s="102">
        <v>816.75</v>
      </c>
      <c r="E191" s="115" t="e">
        <f t="shared" si="10"/>
        <v>#DIV/0!</v>
      </c>
    </row>
    <row r="192" spans="1:5" x14ac:dyDescent="0.25">
      <c r="A192" s="101">
        <v>32121</v>
      </c>
      <c r="B192" s="76" t="s">
        <v>227</v>
      </c>
      <c r="C192" s="102">
        <v>0</v>
      </c>
      <c r="D192" s="102">
        <v>1729.37</v>
      </c>
      <c r="E192" s="115" t="e">
        <f t="shared" si="10"/>
        <v>#DIV/0!</v>
      </c>
    </row>
    <row r="193" spans="1:5" s="42" customFormat="1" x14ac:dyDescent="0.25">
      <c r="A193" s="103" t="s">
        <v>143</v>
      </c>
      <c r="B193" s="116"/>
      <c r="C193" s="105">
        <f>SUM(C189:C192)</f>
        <v>0</v>
      </c>
      <c r="D193" s="105">
        <f>SUM(D189:D192)</f>
        <v>7996.12</v>
      </c>
      <c r="E193" s="117" t="e">
        <f t="shared" si="10"/>
        <v>#DIV/0!</v>
      </c>
    </row>
    <row r="194" spans="1:5" s="42" customFormat="1" x14ac:dyDescent="0.25">
      <c r="A194" s="78"/>
      <c r="B194" s="79"/>
      <c r="C194" s="80"/>
      <c r="D194" s="80"/>
      <c r="E194" s="81"/>
    </row>
    <row r="195" spans="1:5" x14ac:dyDescent="0.25">
      <c r="A195" s="189" t="s">
        <v>196</v>
      </c>
      <c r="B195" s="190"/>
      <c r="C195" s="190"/>
      <c r="D195" s="82"/>
      <c r="E195" s="77"/>
    </row>
    <row r="196" spans="1:5" ht="42.75" x14ac:dyDescent="0.25">
      <c r="A196" s="107" t="s">
        <v>133</v>
      </c>
      <c r="B196" s="108" t="s">
        <v>134</v>
      </c>
      <c r="C196" s="1" t="s">
        <v>209</v>
      </c>
      <c r="D196" s="1" t="s">
        <v>211</v>
      </c>
      <c r="E196" s="109" t="s">
        <v>135</v>
      </c>
    </row>
    <row r="197" spans="1:5" x14ac:dyDescent="0.25">
      <c r="A197" s="128"/>
      <c r="B197" s="129"/>
      <c r="C197" s="112">
        <v>2</v>
      </c>
      <c r="D197" s="112">
        <v>3</v>
      </c>
      <c r="E197" s="113">
        <v>5</v>
      </c>
    </row>
    <row r="198" spans="1:5" x14ac:dyDescent="0.25">
      <c r="A198" s="101">
        <v>31111</v>
      </c>
      <c r="B198" s="76" t="s">
        <v>228</v>
      </c>
      <c r="C198" s="102">
        <v>0</v>
      </c>
      <c r="D198" s="102">
        <v>24300</v>
      </c>
      <c r="E198" s="115" t="e">
        <f>D198/C198*100</f>
        <v>#DIV/0!</v>
      </c>
    </row>
    <row r="199" spans="1:5" x14ac:dyDescent="0.25">
      <c r="A199" s="101">
        <v>31321</v>
      </c>
      <c r="B199" s="76" t="s">
        <v>229</v>
      </c>
      <c r="C199" s="102">
        <v>0</v>
      </c>
      <c r="D199" s="102">
        <v>4009.55</v>
      </c>
      <c r="E199" s="115" t="e">
        <f t="shared" ref="E199:E200" si="11">D199/C199*100</f>
        <v>#DIV/0!</v>
      </c>
    </row>
    <row r="200" spans="1:5" s="42" customFormat="1" x14ac:dyDescent="0.25">
      <c r="A200" s="103" t="s">
        <v>143</v>
      </c>
      <c r="B200" s="116"/>
      <c r="C200" s="105">
        <f>C198+C199</f>
        <v>0</v>
      </c>
      <c r="D200" s="105">
        <f>SUM(D198:D199)</f>
        <v>28309.55</v>
      </c>
      <c r="E200" s="117" t="e">
        <f t="shared" si="11"/>
        <v>#DIV/0!</v>
      </c>
    </row>
    <row r="201" spans="1:5" s="42" customFormat="1" x14ac:dyDescent="0.25">
      <c r="A201" s="158"/>
      <c r="B201" s="159"/>
      <c r="C201" s="160"/>
      <c r="D201" s="120"/>
      <c r="E201" s="121"/>
    </row>
    <row r="202" spans="1:5" s="42" customFormat="1" x14ac:dyDescent="0.25">
      <c r="A202" s="189" t="s">
        <v>150</v>
      </c>
      <c r="B202" s="190"/>
      <c r="C202" s="190"/>
      <c r="D202" s="82"/>
      <c r="E202" s="77"/>
    </row>
    <row r="203" spans="1:5" s="42" customFormat="1" ht="42.75" x14ac:dyDescent="0.25">
      <c r="A203" s="107" t="s">
        <v>133</v>
      </c>
      <c r="B203" s="108" t="s">
        <v>134</v>
      </c>
      <c r="C203" s="1" t="s">
        <v>209</v>
      </c>
      <c r="D203" s="1" t="s">
        <v>211</v>
      </c>
      <c r="E203" s="109" t="s">
        <v>135</v>
      </c>
    </row>
    <row r="204" spans="1:5" s="42" customFormat="1" x14ac:dyDescent="0.25">
      <c r="A204" s="128"/>
      <c r="B204" s="129"/>
      <c r="C204" s="112">
        <v>2</v>
      </c>
      <c r="D204" s="112">
        <v>3</v>
      </c>
      <c r="E204" s="113">
        <v>5</v>
      </c>
    </row>
    <row r="205" spans="1:5" s="42" customFormat="1" x14ac:dyDescent="0.25">
      <c r="A205" s="101">
        <v>31321</v>
      </c>
      <c r="B205" s="76" t="s">
        <v>206</v>
      </c>
      <c r="C205" s="102">
        <v>0</v>
      </c>
      <c r="D205" s="102">
        <v>0</v>
      </c>
      <c r="E205" s="115" t="e">
        <f t="shared" ref="E205" si="12">D205/C205*100</f>
        <v>#DIV/0!</v>
      </c>
    </row>
    <row r="206" spans="1:5" s="42" customFormat="1" x14ac:dyDescent="0.25">
      <c r="A206" s="101">
        <v>31321</v>
      </c>
      <c r="B206" s="76" t="s">
        <v>207</v>
      </c>
      <c r="C206" s="102">
        <v>0</v>
      </c>
      <c r="D206" s="102">
        <v>0</v>
      </c>
      <c r="E206" s="115" t="e">
        <f>D206/C206*100</f>
        <v>#DIV/0!</v>
      </c>
    </row>
    <row r="207" spans="1:5" s="42" customFormat="1" x14ac:dyDescent="0.25">
      <c r="A207" s="103" t="s">
        <v>143</v>
      </c>
      <c r="B207" s="116"/>
      <c r="C207" s="105" t="e">
        <f>#REF!+C205</f>
        <v>#REF!</v>
      </c>
      <c r="D207" s="105">
        <f>SUM(D205:D206)</f>
        <v>0</v>
      </c>
      <c r="E207" s="117" t="e">
        <f>D207/C207*100</f>
        <v>#REF!</v>
      </c>
    </row>
    <row r="208" spans="1:5" s="42" customFormat="1" x14ac:dyDescent="0.25">
      <c r="A208" s="78"/>
      <c r="B208" s="79"/>
      <c r="C208" s="80"/>
      <c r="D208" s="80"/>
      <c r="E208" s="95"/>
    </row>
    <row r="209" spans="1:5" s="42" customFormat="1" x14ac:dyDescent="0.25">
      <c r="A209" s="86" t="s">
        <v>145</v>
      </c>
      <c r="B209" s="85"/>
      <c r="C209" s="87">
        <f>C5+C72+C177</f>
        <v>1259786.21</v>
      </c>
      <c r="D209" s="87">
        <f>D5+D72+D177</f>
        <v>863794.92000000016</v>
      </c>
      <c r="E209" s="88">
        <f>D209/C209*100</f>
        <v>68.566786423229715</v>
      </c>
    </row>
    <row r="210" spans="1:5" s="42" customFormat="1" x14ac:dyDescent="0.25">
      <c r="A210" s="78"/>
      <c r="B210" s="93"/>
      <c r="C210" s="80"/>
      <c r="D210" s="80"/>
      <c r="E210" s="81"/>
    </row>
    <row r="211" spans="1:5" s="42" customFormat="1" x14ac:dyDescent="0.25">
      <c r="E211" s="77"/>
    </row>
    <row r="212" spans="1:5" s="42" customFormat="1" x14ac:dyDescent="0.25">
      <c r="E212" s="77"/>
    </row>
    <row r="213" spans="1:5" s="42" customFormat="1" x14ac:dyDescent="0.25">
      <c r="E213" s="77"/>
    </row>
    <row r="214" spans="1:5" s="42" customFormat="1" x14ac:dyDescent="0.25">
      <c r="E214" s="77"/>
    </row>
    <row r="215" spans="1:5" s="42" customFormat="1" x14ac:dyDescent="0.25">
      <c r="E215" s="77"/>
    </row>
    <row r="216" spans="1:5" s="42" customFormat="1" x14ac:dyDescent="0.25">
      <c r="E216" s="77"/>
    </row>
    <row r="217" spans="1:5" s="42" customFormat="1" x14ac:dyDescent="0.25">
      <c r="E217" s="77"/>
    </row>
    <row r="218" spans="1:5" s="42" customFormat="1" x14ac:dyDescent="0.25">
      <c r="E218" s="77"/>
    </row>
    <row r="219" spans="1:5" s="42" customFormat="1" x14ac:dyDescent="0.25">
      <c r="E219" s="77"/>
    </row>
    <row r="220" spans="1:5" s="42" customFormat="1" x14ac:dyDescent="0.25">
      <c r="E220" s="77"/>
    </row>
    <row r="221" spans="1:5" s="42" customFormat="1" x14ac:dyDescent="0.25">
      <c r="E221" s="77"/>
    </row>
    <row r="222" spans="1:5" s="42" customFormat="1" x14ac:dyDescent="0.25">
      <c r="E222" s="77"/>
    </row>
    <row r="223" spans="1:5" s="42" customFormat="1" x14ac:dyDescent="0.25">
      <c r="E223" s="77"/>
    </row>
    <row r="224" spans="1:5" s="42" customFormat="1" x14ac:dyDescent="0.25">
      <c r="E224" s="77"/>
    </row>
    <row r="225" spans="5:5" s="42" customFormat="1" x14ac:dyDescent="0.25">
      <c r="E225" s="77"/>
    </row>
    <row r="226" spans="5:5" s="42" customFormat="1" x14ac:dyDescent="0.25">
      <c r="E226" s="77"/>
    </row>
    <row r="227" spans="5:5" s="42" customFormat="1" x14ac:dyDescent="0.25">
      <c r="E227" s="77"/>
    </row>
    <row r="228" spans="5:5" s="42" customFormat="1" x14ac:dyDescent="0.25">
      <c r="E228" s="77"/>
    </row>
    <row r="229" spans="5:5" s="42" customFormat="1" x14ac:dyDescent="0.25">
      <c r="E229" s="77"/>
    </row>
    <row r="230" spans="5:5" s="42" customFormat="1" x14ac:dyDescent="0.25">
      <c r="E230" s="77"/>
    </row>
    <row r="231" spans="5:5" s="42" customFormat="1" x14ac:dyDescent="0.25">
      <c r="E231" s="77"/>
    </row>
    <row r="232" spans="5:5" s="42" customFormat="1" x14ac:dyDescent="0.25">
      <c r="E232" s="77"/>
    </row>
    <row r="233" spans="5:5" s="42" customFormat="1" x14ac:dyDescent="0.25">
      <c r="E233" s="77"/>
    </row>
    <row r="234" spans="5:5" s="42" customFormat="1" x14ac:dyDescent="0.25">
      <c r="E234" s="77"/>
    </row>
    <row r="235" spans="5:5" s="42" customFormat="1" x14ac:dyDescent="0.25">
      <c r="E235" s="77"/>
    </row>
    <row r="236" spans="5:5" s="42" customFormat="1" x14ac:dyDescent="0.25">
      <c r="E236" s="77"/>
    </row>
    <row r="237" spans="5:5" s="42" customFormat="1" x14ac:dyDescent="0.25">
      <c r="E237" s="77"/>
    </row>
    <row r="238" spans="5:5" s="42" customFormat="1" x14ac:dyDescent="0.25">
      <c r="E238" s="77"/>
    </row>
    <row r="239" spans="5:5" s="42" customFormat="1" x14ac:dyDescent="0.25">
      <c r="E239" s="77"/>
    </row>
    <row r="240" spans="5:5" s="42" customFormat="1" x14ac:dyDescent="0.25">
      <c r="E240" s="77"/>
    </row>
    <row r="241" spans="5:5" s="42" customFormat="1" x14ac:dyDescent="0.25">
      <c r="E241" s="77"/>
    </row>
    <row r="242" spans="5:5" s="42" customFormat="1" x14ac:dyDescent="0.25">
      <c r="E242" s="77"/>
    </row>
    <row r="243" spans="5:5" s="42" customFormat="1" x14ac:dyDescent="0.25">
      <c r="E243" s="77"/>
    </row>
    <row r="244" spans="5:5" s="42" customFormat="1" x14ac:dyDescent="0.25">
      <c r="E244" s="77"/>
    </row>
    <row r="245" spans="5:5" s="42" customFormat="1" x14ac:dyDescent="0.25">
      <c r="E245" s="77"/>
    </row>
    <row r="246" spans="5:5" s="42" customFormat="1" x14ac:dyDescent="0.25">
      <c r="E246" s="77"/>
    </row>
    <row r="247" spans="5:5" s="42" customFormat="1" x14ac:dyDescent="0.25">
      <c r="E247" s="77"/>
    </row>
    <row r="248" spans="5:5" s="42" customFormat="1" x14ac:dyDescent="0.25">
      <c r="E248" s="77"/>
    </row>
    <row r="249" spans="5:5" s="42" customFormat="1" x14ac:dyDescent="0.25">
      <c r="E249" s="77"/>
    </row>
    <row r="250" spans="5:5" s="42" customFormat="1" x14ac:dyDescent="0.25">
      <c r="E250" s="77"/>
    </row>
    <row r="251" spans="5:5" s="42" customFormat="1" x14ac:dyDescent="0.25">
      <c r="E251" s="77"/>
    </row>
    <row r="252" spans="5:5" s="42" customFormat="1" x14ac:dyDescent="0.25">
      <c r="E252" s="77"/>
    </row>
    <row r="253" spans="5:5" s="42" customFormat="1" x14ac:dyDescent="0.25">
      <c r="E253" s="77"/>
    </row>
    <row r="254" spans="5:5" s="42" customFormat="1" x14ac:dyDescent="0.25">
      <c r="E254" s="77"/>
    </row>
    <row r="255" spans="5:5" s="42" customFormat="1" x14ac:dyDescent="0.25">
      <c r="E255" s="77"/>
    </row>
    <row r="256" spans="5:5" s="42" customFormat="1" x14ac:dyDescent="0.25">
      <c r="E256" s="77"/>
    </row>
    <row r="257" spans="5:5" s="42" customFormat="1" x14ac:dyDescent="0.25">
      <c r="E257" s="77"/>
    </row>
    <row r="258" spans="5:5" s="42" customFormat="1" x14ac:dyDescent="0.25">
      <c r="E258" s="77"/>
    </row>
    <row r="259" spans="5:5" s="42" customFormat="1" x14ac:dyDescent="0.25">
      <c r="E259" s="77"/>
    </row>
    <row r="260" spans="5:5" s="42" customFormat="1" x14ac:dyDescent="0.25">
      <c r="E260" s="77"/>
    </row>
    <row r="261" spans="5:5" s="42" customFormat="1" x14ac:dyDescent="0.25">
      <c r="E261" s="77"/>
    </row>
    <row r="262" spans="5:5" s="42" customFormat="1" x14ac:dyDescent="0.25">
      <c r="E262" s="77"/>
    </row>
    <row r="263" spans="5:5" s="42" customFormat="1" x14ac:dyDescent="0.25">
      <c r="E263" s="77"/>
    </row>
    <row r="264" spans="5:5" s="42" customFormat="1" x14ac:dyDescent="0.25">
      <c r="E264" s="77"/>
    </row>
    <row r="265" spans="5:5" s="42" customFormat="1" x14ac:dyDescent="0.25">
      <c r="E265" s="77"/>
    </row>
    <row r="266" spans="5:5" s="42" customFormat="1" x14ac:dyDescent="0.25">
      <c r="E266" s="77"/>
    </row>
    <row r="267" spans="5:5" s="42" customFormat="1" x14ac:dyDescent="0.25">
      <c r="E267" s="77"/>
    </row>
    <row r="268" spans="5:5" s="42" customFormat="1" x14ac:dyDescent="0.25">
      <c r="E268" s="77"/>
    </row>
    <row r="269" spans="5:5" s="42" customFormat="1" x14ac:dyDescent="0.25">
      <c r="E269" s="77"/>
    </row>
    <row r="270" spans="5:5" s="42" customFormat="1" x14ac:dyDescent="0.25">
      <c r="E270" s="77"/>
    </row>
    <row r="271" spans="5:5" s="42" customFormat="1" x14ac:dyDescent="0.25">
      <c r="E271" s="77"/>
    </row>
    <row r="272" spans="5:5" s="42" customFormat="1" x14ac:dyDescent="0.25">
      <c r="E272" s="77"/>
    </row>
    <row r="273" spans="5:5" s="42" customFormat="1" x14ac:dyDescent="0.25">
      <c r="E273" s="77"/>
    </row>
    <row r="274" spans="5:5" s="42" customFormat="1" x14ac:dyDescent="0.25">
      <c r="E274" s="77"/>
    </row>
    <row r="275" spans="5:5" s="42" customFormat="1" x14ac:dyDescent="0.25">
      <c r="E275" s="77"/>
    </row>
    <row r="276" spans="5:5" s="42" customFormat="1" x14ac:dyDescent="0.25">
      <c r="E276" s="77"/>
    </row>
    <row r="277" spans="5:5" s="42" customFormat="1" x14ac:dyDescent="0.25">
      <c r="E277" s="77"/>
    </row>
    <row r="278" spans="5:5" s="42" customFormat="1" x14ac:dyDescent="0.25">
      <c r="E278" s="77"/>
    </row>
    <row r="279" spans="5:5" s="42" customFormat="1" x14ac:dyDescent="0.25">
      <c r="E279" s="77"/>
    </row>
    <row r="280" spans="5:5" s="42" customFormat="1" x14ac:dyDescent="0.25">
      <c r="E280" s="77"/>
    </row>
    <row r="281" spans="5:5" s="42" customFormat="1" x14ac:dyDescent="0.25">
      <c r="E281" s="77"/>
    </row>
    <row r="282" spans="5:5" s="42" customFormat="1" x14ac:dyDescent="0.25">
      <c r="E282" s="77"/>
    </row>
    <row r="283" spans="5:5" s="42" customFormat="1" x14ac:dyDescent="0.25">
      <c r="E283" s="77"/>
    </row>
    <row r="284" spans="5:5" s="42" customFormat="1" x14ac:dyDescent="0.25">
      <c r="E284" s="77"/>
    </row>
    <row r="285" spans="5:5" s="42" customFormat="1" x14ac:dyDescent="0.25">
      <c r="E285" s="77"/>
    </row>
    <row r="286" spans="5:5" s="42" customFormat="1" x14ac:dyDescent="0.25">
      <c r="E286" s="77"/>
    </row>
    <row r="287" spans="5:5" s="42" customFormat="1" x14ac:dyDescent="0.25">
      <c r="E287" s="77"/>
    </row>
    <row r="288" spans="5:5" s="42" customFormat="1" x14ac:dyDescent="0.25">
      <c r="E288" s="77"/>
    </row>
    <row r="289" spans="5:5" s="42" customFormat="1" x14ac:dyDescent="0.25">
      <c r="E289" s="77"/>
    </row>
    <row r="290" spans="5:5" s="42" customFormat="1" x14ac:dyDescent="0.25">
      <c r="E290" s="77"/>
    </row>
    <row r="291" spans="5:5" s="42" customFormat="1" x14ac:dyDescent="0.25">
      <c r="E291" s="77"/>
    </row>
    <row r="292" spans="5:5" s="42" customFormat="1" x14ac:dyDescent="0.25">
      <c r="E292" s="77"/>
    </row>
    <row r="293" spans="5:5" s="42" customFormat="1" x14ac:dyDescent="0.25">
      <c r="E293" s="77"/>
    </row>
    <row r="294" spans="5:5" s="42" customFormat="1" x14ac:dyDescent="0.25">
      <c r="E294" s="77"/>
    </row>
    <row r="295" spans="5:5" s="42" customFormat="1" x14ac:dyDescent="0.25">
      <c r="E295" s="77"/>
    </row>
    <row r="296" spans="5:5" s="42" customFormat="1" x14ac:dyDescent="0.25">
      <c r="E296" s="77"/>
    </row>
    <row r="297" spans="5:5" s="42" customFormat="1" x14ac:dyDescent="0.25">
      <c r="E297" s="77"/>
    </row>
    <row r="298" spans="5:5" s="42" customFormat="1" x14ac:dyDescent="0.25">
      <c r="E298" s="77"/>
    </row>
    <row r="299" spans="5:5" s="42" customFormat="1" x14ac:dyDescent="0.25">
      <c r="E299" s="77"/>
    </row>
    <row r="300" spans="5:5" s="42" customFormat="1" x14ac:dyDescent="0.25">
      <c r="E300" s="77"/>
    </row>
    <row r="301" spans="5:5" s="42" customFormat="1" x14ac:dyDescent="0.25">
      <c r="E301" s="77"/>
    </row>
    <row r="302" spans="5:5" s="42" customFormat="1" x14ac:dyDescent="0.25">
      <c r="E302" s="77"/>
    </row>
    <row r="303" spans="5:5" s="42" customFormat="1" x14ac:dyDescent="0.25">
      <c r="E303" s="77"/>
    </row>
    <row r="304" spans="5:5" s="42" customFormat="1" x14ac:dyDescent="0.25">
      <c r="E304" s="77"/>
    </row>
    <row r="305" spans="5:5" s="42" customFormat="1" x14ac:dyDescent="0.25">
      <c r="E305" s="77"/>
    </row>
    <row r="306" spans="5:5" s="42" customFormat="1" x14ac:dyDescent="0.25">
      <c r="E306" s="77"/>
    </row>
    <row r="307" spans="5:5" s="42" customFormat="1" x14ac:dyDescent="0.25">
      <c r="E307" s="77"/>
    </row>
    <row r="308" spans="5:5" s="42" customFormat="1" x14ac:dyDescent="0.25">
      <c r="E308" s="77"/>
    </row>
    <row r="309" spans="5:5" s="42" customFormat="1" x14ac:dyDescent="0.25">
      <c r="E309" s="77"/>
    </row>
    <row r="310" spans="5:5" s="42" customFormat="1" x14ac:dyDescent="0.25">
      <c r="E310" s="77"/>
    </row>
    <row r="311" spans="5:5" s="42" customFormat="1" x14ac:dyDescent="0.25">
      <c r="E311" s="77"/>
    </row>
    <row r="312" spans="5:5" s="42" customFormat="1" x14ac:dyDescent="0.25">
      <c r="E312" s="77"/>
    </row>
    <row r="313" spans="5:5" s="42" customFormat="1" x14ac:dyDescent="0.25">
      <c r="E313" s="77"/>
    </row>
    <row r="314" spans="5:5" s="42" customFormat="1" x14ac:dyDescent="0.25">
      <c r="E314" s="77"/>
    </row>
    <row r="315" spans="5:5" s="42" customFormat="1" x14ac:dyDescent="0.25">
      <c r="E315" s="77"/>
    </row>
    <row r="316" spans="5:5" s="42" customFormat="1" x14ac:dyDescent="0.25">
      <c r="E316" s="77"/>
    </row>
    <row r="317" spans="5:5" s="42" customFormat="1" x14ac:dyDescent="0.25">
      <c r="E317" s="77"/>
    </row>
    <row r="318" spans="5:5" s="42" customFormat="1" x14ac:dyDescent="0.25">
      <c r="E318" s="77"/>
    </row>
    <row r="319" spans="5:5" s="42" customFormat="1" x14ac:dyDescent="0.25">
      <c r="E319" s="77"/>
    </row>
    <row r="320" spans="5:5" s="42" customFormat="1" x14ac:dyDescent="0.25">
      <c r="E320" s="77"/>
    </row>
    <row r="321" spans="5:5" s="42" customFormat="1" x14ac:dyDescent="0.25">
      <c r="E321" s="77"/>
    </row>
    <row r="322" spans="5:5" s="42" customFormat="1" x14ac:dyDescent="0.25">
      <c r="E322" s="77"/>
    </row>
    <row r="323" spans="5:5" s="42" customFormat="1" x14ac:dyDescent="0.25">
      <c r="E323" s="77"/>
    </row>
    <row r="324" spans="5:5" s="42" customFormat="1" x14ac:dyDescent="0.25">
      <c r="E324" s="77"/>
    </row>
    <row r="325" spans="5:5" s="42" customFormat="1" x14ac:dyDescent="0.25">
      <c r="E325" s="77"/>
    </row>
    <row r="326" spans="5:5" s="42" customFormat="1" x14ac:dyDescent="0.25">
      <c r="E326" s="77"/>
    </row>
    <row r="327" spans="5:5" s="42" customFormat="1" x14ac:dyDescent="0.25">
      <c r="E327" s="77"/>
    </row>
    <row r="328" spans="5:5" s="42" customFormat="1" x14ac:dyDescent="0.25">
      <c r="E328" s="77"/>
    </row>
    <row r="329" spans="5:5" s="42" customFormat="1" x14ac:dyDescent="0.25">
      <c r="E329" s="77"/>
    </row>
    <row r="330" spans="5:5" s="42" customFormat="1" x14ac:dyDescent="0.25">
      <c r="E330" s="77"/>
    </row>
    <row r="331" spans="5:5" s="42" customFormat="1" x14ac:dyDescent="0.25">
      <c r="E331" s="77"/>
    </row>
    <row r="332" spans="5:5" s="42" customFormat="1" x14ac:dyDescent="0.25">
      <c r="E332" s="77"/>
    </row>
    <row r="333" spans="5:5" s="42" customFormat="1" x14ac:dyDescent="0.25">
      <c r="E333" s="77"/>
    </row>
    <row r="334" spans="5:5" s="42" customFormat="1" x14ac:dyDescent="0.25">
      <c r="E334" s="77"/>
    </row>
    <row r="335" spans="5:5" s="42" customFormat="1" x14ac:dyDescent="0.25">
      <c r="E335" s="77"/>
    </row>
    <row r="336" spans="5:5" s="42" customFormat="1" x14ac:dyDescent="0.25">
      <c r="E336" s="77"/>
    </row>
    <row r="337" spans="1:5" s="42" customFormat="1" x14ac:dyDescent="0.25">
      <c r="E337" s="77"/>
    </row>
    <row r="338" spans="1:5" s="42" customFormat="1" x14ac:dyDescent="0.25">
      <c r="E338" s="77"/>
    </row>
    <row r="339" spans="1:5" s="42" customFormat="1" x14ac:dyDescent="0.25">
      <c r="E339" s="77"/>
    </row>
    <row r="340" spans="1:5" s="42" customFormat="1" x14ac:dyDescent="0.25">
      <c r="E340" s="77"/>
    </row>
    <row r="341" spans="1:5" s="42" customFormat="1" x14ac:dyDescent="0.25">
      <c r="E341" s="77"/>
    </row>
    <row r="342" spans="1:5" s="42" customFormat="1" x14ac:dyDescent="0.25">
      <c r="E342" s="77"/>
    </row>
    <row r="343" spans="1:5" s="42" customFormat="1" x14ac:dyDescent="0.25">
      <c r="E343" s="77"/>
    </row>
    <row r="344" spans="1:5" s="42" customFormat="1" x14ac:dyDescent="0.25">
      <c r="E344" s="77"/>
    </row>
    <row r="345" spans="1:5" s="42" customFormat="1" x14ac:dyDescent="0.25">
      <c r="E345" s="77"/>
    </row>
    <row r="346" spans="1:5" s="42" customFormat="1" x14ac:dyDescent="0.25">
      <c r="E346" s="77"/>
    </row>
    <row r="347" spans="1:5" s="42" customFormat="1" x14ac:dyDescent="0.25">
      <c r="E347" s="77"/>
    </row>
    <row r="348" spans="1:5" s="42" customFormat="1" x14ac:dyDescent="0.25">
      <c r="E348" s="77"/>
    </row>
    <row r="349" spans="1:5" x14ac:dyDescent="0.25">
      <c r="A349" s="42"/>
      <c r="B349" s="42"/>
      <c r="C349" s="42"/>
      <c r="D349" s="42"/>
      <c r="E349" s="77"/>
    </row>
    <row r="350" spans="1:5" x14ac:dyDescent="0.25">
      <c r="A350" s="42"/>
      <c r="B350" s="42"/>
      <c r="C350" s="42"/>
      <c r="D350" s="42"/>
      <c r="E350" s="77"/>
    </row>
    <row r="351" spans="1:5" x14ac:dyDescent="0.25">
      <c r="A351" s="42"/>
      <c r="B351" s="42"/>
      <c r="C351" s="42"/>
      <c r="D351" s="42"/>
      <c r="E351" s="77"/>
    </row>
    <row r="352" spans="1:5" x14ac:dyDescent="0.25">
      <c r="A352" s="42"/>
      <c r="B352" s="42"/>
      <c r="C352" s="42"/>
      <c r="D352" s="42"/>
      <c r="E352" s="77"/>
    </row>
    <row r="353" spans="1:5" x14ac:dyDescent="0.25">
      <c r="A353" s="42"/>
      <c r="B353" s="42"/>
      <c r="C353" s="42"/>
      <c r="D353" s="42"/>
      <c r="E353" s="77"/>
    </row>
    <row r="354" spans="1:5" x14ac:dyDescent="0.25">
      <c r="A354" s="42"/>
      <c r="B354" s="42"/>
      <c r="C354" s="42"/>
      <c r="D354" s="42"/>
      <c r="E354" s="77"/>
    </row>
    <row r="355" spans="1:5" x14ac:dyDescent="0.25">
      <c r="A355" s="42"/>
      <c r="B355" s="42"/>
      <c r="C355" s="42"/>
      <c r="D355" s="42"/>
      <c r="E355" s="77"/>
    </row>
  </sheetData>
  <mergeCells count="14">
    <mergeCell ref="A1:E1"/>
    <mergeCell ref="A3:E3"/>
    <mergeCell ref="A47:C47"/>
    <mergeCell ref="A129:B129"/>
    <mergeCell ref="A54:C54"/>
    <mergeCell ref="A32:C32"/>
    <mergeCell ref="A31:B31"/>
    <mergeCell ref="A202:C202"/>
    <mergeCell ref="A195:C195"/>
    <mergeCell ref="A7:B7"/>
    <mergeCell ref="A179:E179"/>
    <mergeCell ref="A143:C143"/>
    <mergeCell ref="A171:C171"/>
    <mergeCell ref="A178:C178"/>
  </mergeCells>
  <pageMargins left="0.7" right="0.7" top="0.75" bottom="0.75" header="0.3" footer="0.3"/>
  <pageSetup paperSize="9" scale="60" orientation="portrait" horizontalDpi="0" verticalDpi="0" r:id="rId1"/>
  <rowBreaks count="3" manualBreakCount="3">
    <brk id="70" max="16383" man="1"/>
    <brk id="128" max="16383" man="1"/>
    <brk id="15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rashoda'!Print_Area</vt:lpstr>
      <vt:lpstr>'POSEBNI DIO'!Print_Area</vt:lpstr>
      <vt:lpstr>'Rashodi prema izvorima finan'!Print_Area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2025-07-15T11:53:46Z</cp:lastPrinted>
  <dcterms:created xsi:type="dcterms:W3CDTF">2022-08-12T12:51:27Z</dcterms:created>
  <dcterms:modified xsi:type="dcterms:W3CDTF">2025-07-15T11:55:47Z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